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ARCHIVOS\ESCRITORIO\BANCO MUNDIAL\PACK1-INTEGRADOS V3\Lote 15\12656.-ESCUELA DE EDUCACION PARVULARIA DE PUERTO EL TRIUNFO\DOCUMENTOS COMPLEMENTARIOS\PLAN DE OFERTA\"/>
    </mc:Choice>
  </mc:AlternateContent>
  <xr:revisionPtr revIDLastSave="0" documentId="13_ncr:1_{4DFD2521-1B90-421E-865E-1F6CF1C9EDFD}" xr6:coauthVersionLast="47" xr6:coauthVersionMax="47" xr10:uidLastSave="{00000000-0000-0000-0000-000000000000}"/>
  <bookViews>
    <workbookView xWindow="-108" yWindow="-108" windowWidth="23256" windowHeight="12456" xr2:uid="{00000000-000D-0000-FFFF-FFFF00000000}"/>
  </bookViews>
  <sheets>
    <sheet name="PLAN DE OFERTA" sheetId="3" r:id="rId1"/>
    <sheet name="Resumen de entrega" sheetId="13" state="hidden" r:id="rId2"/>
    <sheet name="Cancha" sheetId="18" state="hidden" r:id="rId3"/>
    <sheet name="Administracion" sheetId="17" state="hidden" r:id="rId4"/>
    <sheet name="Modulo de sanitarios" sheetId="8" state="hidden" r:id="rId5"/>
    <sheet name="rehabilitacion de un aula " sheetId="9" state="hidden" r:id="rId6"/>
    <sheet name="Cerca perimetr y acceso peatona" sheetId="15" state="hidden" r:id="rId7"/>
    <sheet name="Sanitario para minusvalidos" sheetId="16" state="hidden" r:id="rId8"/>
    <sheet name="mesa y sombra" sheetId="11" state="hidden" r:id="rId9"/>
    <sheet name="SUM" sheetId="14" state="hidden" r:id="rId10"/>
  </sheets>
  <definedNames>
    <definedName name="_xlnm.Print_Area" localSheetId="0">'PLAN DE OFERTA'!$A$1:$G$86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7" l="1"/>
  <c r="F18" i="17" s="1"/>
  <c r="E5" i="9"/>
  <c r="E17" i="17"/>
  <c r="F17" i="17" s="1"/>
  <c r="E16" i="17"/>
  <c r="F16" i="17" s="1"/>
  <c r="E15" i="17"/>
  <c r="F15" i="17" s="1"/>
  <c r="F10" i="9"/>
  <c r="E8" i="18" l="1"/>
  <c r="F8" i="18" s="1"/>
  <c r="E7" i="18"/>
  <c r="F7" i="18" s="1"/>
  <c r="E6" i="18"/>
  <c r="F6" i="18" s="1"/>
  <c r="E5" i="18"/>
  <c r="F5" i="18" s="1"/>
  <c r="E4" i="18"/>
  <c r="F4" i="18" s="1"/>
  <c r="F9" i="18" l="1"/>
  <c r="E35" i="15"/>
  <c r="F35" i="15" s="1"/>
  <c r="E34" i="15"/>
  <c r="F34" i="15" s="1"/>
  <c r="E33" i="15"/>
  <c r="F33" i="15" s="1"/>
  <c r="E32" i="15"/>
  <c r="F32" i="15" s="1"/>
  <c r="E31" i="15"/>
  <c r="F31" i="15" s="1"/>
  <c r="E30" i="15"/>
  <c r="F30" i="15" s="1"/>
  <c r="E29" i="15"/>
  <c r="F29" i="15" s="1"/>
  <c r="E28" i="15"/>
  <c r="F28" i="15" s="1"/>
  <c r="E27" i="15"/>
  <c r="F27" i="15" s="1"/>
  <c r="E26" i="15"/>
  <c r="F26" i="15" s="1"/>
  <c r="E25" i="15"/>
  <c r="F25" i="15" s="1"/>
  <c r="E24" i="15"/>
  <c r="F24" i="15" s="1"/>
  <c r="E23" i="15"/>
  <c r="F23" i="15" s="1"/>
  <c r="E22" i="15"/>
  <c r="F22" i="15" s="1"/>
  <c r="E21" i="15"/>
  <c r="F21" i="15" s="1"/>
  <c r="E20" i="15"/>
  <c r="F20" i="15" s="1"/>
  <c r="E19" i="15"/>
  <c r="F19" i="15" s="1"/>
  <c r="E18" i="15"/>
  <c r="F18" i="15" s="1"/>
  <c r="E17" i="15"/>
  <c r="F17" i="15" s="1"/>
  <c r="E16" i="15"/>
  <c r="F16" i="15" s="1"/>
  <c r="E15" i="15"/>
  <c r="F15" i="15" s="1"/>
  <c r="E14" i="15"/>
  <c r="F14" i="15" s="1"/>
  <c r="G13" i="15" s="1"/>
  <c r="L13" i="15" s="1"/>
  <c r="E12" i="15"/>
  <c r="F12" i="15" s="1"/>
  <c r="E11" i="15"/>
  <c r="F11" i="15" s="1"/>
  <c r="E10" i="15"/>
  <c r="F10" i="15" s="1"/>
  <c r="E9" i="15"/>
  <c r="D9" i="15"/>
  <c r="F9" i="15" s="1"/>
  <c r="E8" i="15"/>
  <c r="D8" i="15"/>
  <c r="F8" i="15" s="1"/>
  <c r="E7" i="15"/>
  <c r="F7" i="15" s="1"/>
  <c r="E6" i="15"/>
  <c r="F6" i="15" s="1"/>
  <c r="E5" i="15"/>
  <c r="F5" i="15" s="1"/>
  <c r="E50" i="17"/>
  <c r="F50" i="17" s="1"/>
  <c r="E49" i="17"/>
  <c r="F49" i="17" s="1"/>
  <c r="E48" i="17"/>
  <c r="F48" i="17" s="1"/>
  <c r="E47" i="17"/>
  <c r="F47" i="17" s="1"/>
  <c r="E46" i="17"/>
  <c r="F46" i="17" s="1"/>
  <c r="E45" i="17"/>
  <c r="F45" i="17" s="1"/>
  <c r="E44" i="17"/>
  <c r="F44" i="17" s="1"/>
  <c r="E43" i="17"/>
  <c r="F43" i="17" s="1"/>
  <c r="E42" i="17"/>
  <c r="F42" i="17" s="1"/>
  <c r="E40" i="17"/>
  <c r="F40" i="17" s="1"/>
  <c r="E39" i="17"/>
  <c r="F39" i="17" s="1"/>
  <c r="E38" i="17"/>
  <c r="F38" i="17" s="1"/>
  <c r="E36" i="17"/>
  <c r="F36" i="17" s="1"/>
  <c r="E35" i="17"/>
  <c r="F35" i="17" s="1"/>
  <c r="E34" i="17"/>
  <c r="F34" i="17" s="1"/>
  <c r="E32" i="17"/>
  <c r="F32" i="17" s="1"/>
  <c r="E31" i="17"/>
  <c r="F31" i="17" s="1"/>
  <c r="E30" i="17"/>
  <c r="F30" i="17" s="1"/>
  <c r="E28" i="17"/>
  <c r="F28" i="17" s="1"/>
  <c r="E27" i="17"/>
  <c r="F27" i="17" s="1"/>
  <c r="E26" i="17"/>
  <c r="F26" i="17" s="1"/>
  <c r="E25" i="17"/>
  <c r="F25" i="17" s="1"/>
  <c r="E24" i="17"/>
  <c r="F24" i="17" s="1"/>
  <c r="E23" i="17"/>
  <c r="F23" i="17" s="1"/>
  <c r="E22" i="17"/>
  <c r="F22" i="17" s="1"/>
  <c r="E21" i="17"/>
  <c r="F21" i="17" s="1"/>
  <c r="E20" i="17"/>
  <c r="F20" i="17" s="1"/>
  <c r="E14" i="17"/>
  <c r="F14" i="17" s="1"/>
  <c r="E13" i="17"/>
  <c r="F13" i="17" s="1"/>
  <c r="E11" i="17"/>
  <c r="F11" i="17" s="1"/>
  <c r="E10" i="17"/>
  <c r="F10" i="17" s="1"/>
  <c r="E9" i="17"/>
  <c r="F9" i="17" s="1"/>
  <c r="E8" i="17"/>
  <c r="F8" i="17" s="1"/>
  <c r="E7" i="17"/>
  <c r="F7" i="17" s="1"/>
  <c r="E6" i="17"/>
  <c r="D6" i="17"/>
  <c r="E41" i="16"/>
  <c r="F41" i="16" s="1"/>
  <c r="E40" i="16"/>
  <c r="F40" i="16" s="1"/>
  <c r="E38" i="16"/>
  <c r="F38" i="16" s="1"/>
  <c r="E36" i="16"/>
  <c r="F36" i="16" s="1"/>
  <c r="E35" i="16"/>
  <c r="F35" i="16" s="1"/>
  <c r="E34" i="16"/>
  <c r="F34" i="16" s="1"/>
  <c r="E32" i="16"/>
  <c r="F32" i="16" s="1"/>
  <c r="E31" i="16"/>
  <c r="F31" i="16" s="1"/>
  <c r="E30" i="16"/>
  <c r="F30" i="16" s="1"/>
  <c r="E29" i="16"/>
  <c r="F29" i="16" s="1"/>
  <c r="E27" i="16"/>
  <c r="F27" i="16" s="1"/>
  <c r="E25" i="16"/>
  <c r="F25" i="16" s="1"/>
  <c r="E24" i="16"/>
  <c r="F24" i="16" s="1"/>
  <c r="E22" i="16"/>
  <c r="F22" i="16" s="1"/>
  <c r="E21" i="16"/>
  <c r="F21" i="16" s="1"/>
  <c r="E20" i="16"/>
  <c r="F20" i="16" s="1"/>
  <c r="E19" i="16"/>
  <c r="F19" i="16" s="1"/>
  <c r="E18" i="16"/>
  <c r="F18" i="16" s="1"/>
  <c r="E17" i="16"/>
  <c r="F17" i="16" s="1"/>
  <c r="E16" i="16"/>
  <c r="F16" i="16" s="1"/>
  <c r="E14" i="16"/>
  <c r="F14" i="16" s="1"/>
  <c r="E13" i="16"/>
  <c r="F13" i="16" s="1"/>
  <c r="E11" i="16"/>
  <c r="F11" i="16" s="1"/>
  <c r="E10" i="16"/>
  <c r="F10" i="16" s="1"/>
  <c r="E9" i="16"/>
  <c r="F9" i="16" s="1"/>
  <c r="E8" i="16"/>
  <c r="F8" i="16" s="1"/>
  <c r="E7" i="16"/>
  <c r="F7" i="16" s="1"/>
  <c r="E6" i="16"/>
  <c r="F6" i="16" s="1"/>
  <c r="F6" i="17" l="1"/>
  <c r="G7" i="13"/>
  <c r="G4" i="17"/>
  <c r="G4" i="15"/>
  <c r="L4" i="15" s="1"/>
  <c r="G4" i="16"/>
  <c r="G42" i="16" s="1"/>
  <c r="G51" i="17" l="1"/>
  <c r="E7" i="14"/>
  <c r="F7" i="14" s="1"/>
  <c r="E6" i="14"/>
  <c r="F6" i="14" s="1"/>
  <c r="F6" i="8"/>
  <c r="E9" i="8"/>
  <c r="F9" i="8" s="1"/>
  <c r="E8" i="8"/>
  <c r="F8" i="8" s="1"/>
  <c r="E7" i="8"/>
  <c r="F7" i="8" s="1"/>
  <c r="E8" i="9"/>
  <c r="F8" i="9" s="1"/>
  <c r="E7" i="9"/>
  <c r="F7" i="9" l="1"/>
  <c r="E5" i="14" l="1"/>
  <c r="F5" i="14"/>
  <c r="E9" i="9"/>
  <c r="F49" i="8"/>
  <c r="F9" i="9" l="1"/>
  <c r="K5" i="9"/>
  <c r="D19" i="8"/>
  <c r="D17" i="8"/>
  <c r="E14" i="14" l="1"/>
  <c r="F14" i="14" s="1"/>
  <c r="E13" i="14"/>
  <c r="E12" i="14"/>
  <c r="F12" i="14" s="1"/>
  <c r="E11" i="14"/>
  <c r="F11" i="14" s="1"/>
  <c r="E10" i="14"/>
  <c r="F10" i="14" s="1"/>
  <c r="E9" i="14"/>
  <c r="F9" i="14" s="1"/>
  <c r="E8" i="14"/>
  <c r="F8" i="14" s="1"/>
  <c r="F13" i="14"/>
  <c r="F4" i="14"/>
  <c r="G15" i="14" l="1"/>
  <c r="G16" i="14" s="1"/>
  <c r="F50" i="9" l="1"/>
  <c r="F49" i="9"/>
  <c r="G48" i="9" s="1"/>
  <c r="F32" i="9"/>
  <c r="F31" i="9"/>
  <c r="D13" i="3" l="1"/>
  <c r="D11" i="3"/>
  <c r="D9" i="3"/>
  <c r="D8" i="3"/>
  <c r="G6" i="13" l="1"/>
  <c r="D14" i="3"/>
  <c r="F34" i="9" l="1"/>
  <c r="F6" i="11" l="1"/>
  <c r="F7" i="11"/>
  <c r="F8" i="11"/>
  <c r="F9" i="11"/>
  <c r="F10" i="11"/>
  <c r="F11" i="11"/>
  <c r="F12" i="11"/>
  <c r="F13" i="11"/>
  <c r="F14" i="11"/>
  <c r="F15" i="11"/>
  <c r="F16" i="11"/>
  <c r="F17" i="11"/>
  <c r="F18" i="11"/>
  <c r="F19" i="11"/>
  <c r="F20" i="11"/>
  <c r="F21" i="11"/>
  <c r="F22" i="11"/>
  <c r="F23" i="11"/>
  <c r="F24" i="11"/>
  <c r="F5" i="11"/>
  <c r="G4" i="11" l="1"/>
  <c r="E21" i="9"/>
  <c r="F21" i="9" s="1"/>
  <c r="E20" i="9"/>
  <c r="F20" i="9" s="1"/>
  <c r="E12" i="9"/>
  <c r="F47" i="9"/>
  <c r="F46" i="9"/>
  <c r="F45" i="9"/>
  <c r="F44" i="9"/>
  <c r="F42" i="9"/>
  <c r="F41" i="9"/>
  <c r="F39" i="9"/>
  <c r="F38" i="9"/>
  <c r="F37" i="9"/>
  <c r="G36" i="9" s="1"/>
  <c r="F35" i="9"/>
  <c r="G33" i="9" s="1"/>
  <c r="F30" i="9"/>
  <c r="F29" i="9"/>
  <c r="F28" i="9"/>
  <c r="F27" i="9"/>
  <c r="F26" i="9"/>
  <c r="F25" i="9"/>
  <c r="F24" i="9"/>
  <c r="F23" i="9"/>
  <c r="F22" i="9"/>
  <c r="F18" i="9"/>
  <c r="F17" i="9"/>
  <c r="F16" i="9"/>
  <c r="F15" i="9"/>
  <c r="F14" i="9"/>
  <c r="F6" i="9"/>
  <c r="F5" i="9"/>
  <c r="D5" i="8"/>
  <c r="E22" i="8"/>
  <c r="E21" i="8"/>
  <c r="E11" i="8"/>
  <c r="F48" i="8"/>
  <c r="F47" i="8"/>
  <c r="F46" i="8"/>
  <c r="F45" i="8"/>
  <c r="F43" i="8"/>
  <c r="F42" i="8"/>
  <c r="F41" i="8"/>
  <c r="F39" i="8"/>
  <c r="F38" i="8"/>
  <c r="F37" i="8"/>
  <c r="F35" i="8"/>
  <c r="F34" i="8"/>
  <c r="F33" i="8"/>
  <c r="F31" i="8"/>
  <c r="F30" i="8"/>
  <c r="F29" i="8"/>
  <c r="F28" i="8"/>
  <c r="F27" i="8"/>
  <c r="F26" i="8"/>
  <c r="F25" i="8"/>
  <c r="F24" i="8"/>
  <c r="F23" i="8"/>
  <c r="F22" i="8"/>
  <c r="F19" i="8"/>
  <c r="C19" i="8"/>
  <c r="F18" i="8"/>
  <c r="F17" i="8"/>
  <c r="F16" i="8"/>
  <c r="F15" i="8"/>
  <c r="F14" i="8"/>
  <c r="F13" i="8"/>
  <c r="F5" i="8"/>
  <c r="G4" i="8" s="1"/>
  <c r="G19" i="9" l="1"/>
  <c r="G4" i="9"/>
  <c r="G44" i="8"/>
  <c r="G43" i="9"/>
  <c r="G40" i="9"/>
  <c r="G13" i="9"/>
  <c r="F12" i="9"/>
  <c r="G11" i="9" s="1"/>
  <c r="G40" i="8"/>
  <c r="G36" i="8"/>
  <c r="G32" i="8"/>
  <c r="F21" i="8"/>
  <c r="G20" i="8" s="1"/>
  <c r="G12" i="8"/>
  <c r="F11" i="8"/>
  <c r="G10" i="8" s="1"/>
  <c r="G51" i="9" l="1"/>
  <c r="G51" i="8"/>
  <c r="G52" i="8"/>
  <c r="G52" i="9" l="1"/>
  <c r="G2" i="13"/>
  <c r="G5" i="13" l="1"/>
  <c r="G4" i="13"/>
  <c r="G3" i="13" l="1"/>
  <c r="G8" i="13" s="1"/>
  <c r="G9" i="13" l="1"/>
  <c r="G10" i="13"/>
  <c r="G11" i="13" l="1"/>
  <c r="G12" i="13" s="1"/>
  <c r="G13" i="13" s="1"/>
  <c r="G14" i="13" s="1"/>
  <c r="G15" i="13" l="1"/>
</calcChain>
</file>

<file path=xl/sharedStrings.xml><?xml version="1.0" encoding="utf-8"?>
<sst xmlns="http://schemas.openxmlformats.org/spreadsheetml/2006/main" count="850" uniqueCount="442">
  <si>
    <t>MINISTERIO DE EDUCACIÓN CIENCIA Y TECNOLOGÍA</t>
  </si>
  <si>
    <t>PROYECTO: ESCUELA DE EDUCACIÓN PARVULARIA DE PUERTO EL TRIUNFO</t>
  </si>
  <si>
    <t>MUNICIPIO: PUERTO EL TRIUNFO</t>
  </si>
  <si>
    <t>DEPARTAMENTO:  USULUTAN          CÓDIGO:  12656</t>
  </si>
  <si>
    <t>No.</t>
  </si>
  <si>
    <t xml:space="preserve">DESCRIPCIÓN/PARTIDA </t>
  </si>
  <si>
    <t>UNIDAD</t>
  </si>
  <si>
    <t>CANTIDAD</t>
  </si>
  <si>
    <t>PRECIO UNITARIO</t>
  </si>
  <si>
    <t xml:space="preserve"> SUB-TOTAL </t>
  </si>
  <si>
    <t xml:space="preserve"> TOTAL PARTIDA </t>
  </si>
  <si>
    <t>OBRAS PRELIMINARES</t>
  </si>
  <si>
    <t>Desmontajes y desalojos</t>
  </si>
  <si>
    <t>1.1.1</t>
  </si>
  <si>
    <t>Desmontaje de estructura de techo existente para cubierta de lamina zinc-alum (area de cocina, bodega, chalet y acceso)</t>
  </si>
  <si>
    <t>m2</t>
  </si>
  <si>
    <t>1.1.2</t>
  </si>
  <si>
    <t>Desmontaje de cubierta (area de cocina, bodega, chalet y acceso)</t>
  </si>
  <si>
    <t>1.1.3</t>
  </si>
  <si>
    <t>Desmontaje de cielo falso existente, incluye losetas, perfileria, receptaculos, lamparas y ventiladores (area de cocina, bodega, chalet y acceso)</t>
  </si>
  <si>
    <t>1.1.4</t>
  </si>
  <si>
    <t>Demolicion y acopio interno de pared de block de 15X20X40 cm. Area de cocina, bodega, chalet y acceso.</t>
  </si>
  <si>
    <t>1.1.5</t>
  </si>
  <si>
    <t>Demolicion de pilar de concreto en administracion (Area de administracion)</t>
  </si>
  <si>
    <t>ml</t>
  </si>
  <si>
    <t>1.1.6</t>
  </si>
  <si>
    <t>Demolicion de piso de concreto con acabados ceramicos.</t>
  </si>
  <si>
    <t>1.1.7</t>
  </si>
  <si>
    <t>Limpieza, acarreo y desalojo de escombros.Este deberá hacerse a un lugar autorizado.</t>
  </si>
  <si>
    <t>m3</t>
  </si>
  <si>
    <t>1.1.8</t>
  </si>
  <si>
    <t>Desmontaje de sistema electrico exixetnte en aulas, modulo de sanitarios, CRA, laboratorio, bodegas, escenario, etc.</t>
  </si>
  <si>
    <t>U</t>
  </si>
  <si>
    <t>Intervecion de vegetacion existente</t>
  </si>
  <si>
    <t>1.2.1</t>
  </si>
  <si>
    <t>Tala y remoción de árboles, incluye: (tala, destronconado, desraizado y permiso de tala).</t>
  </si>
  <si>
    <t>c/u</t>
  </si>
  <si>
    <t>Nota: Las área a demoler se indica en plano de demolición, se deberá hacer los desalojos de material a un lugar autorizado, e incluye permiso de demolicion.</t>
  </si>
  <si>
    <t>REHABILITACIONES</t>
  </si>
  <si>
    <t>2.1.0</t>
  </si>
  <si>
    <t>Modulo A (AULAS 1 y 2)</t>
  </si>
  <si>
    <t>2.1.1</t>
  </si>
  <si>
    <t>REHABILITACION DE 2 AULAS Incluye:
-Cambio de Cubierta de techo a techo insulado de 2". Incluye estructura de soporte de techo con polín C, pletina, capote, hechura de cepos, tornillería y columnas metalicas.
-Canales, bajadas aguas lluvias que incluye tubería subterránea a cajas de aguas lluvias con sus accesorios.
-Ventanas corredizas y puertas.
-Defensas tipo cuadrícula.
-Piso tipo porcelanato y Zócalo.
-Pintura  a media altura lavable y el resto acrilica.                                              
-Cambio Sistema Electrico que incluye artefactos y dispositivos de acuerdo a especificaciones técnicas y normativa vigente. (Luminarias, tomacorrientes, interruptores, ventiladores, detector de humo y circuito cerrado).
-Pizarra.                                             -Incluye desmontajes y desalojos.                                                                    -Nota todas las instalaciones deben quedar  en buenas condisiones de funcionamiento.</t>
  </si>
  <si>
    <t>2.2.0</t>
  </si>
  <si>
    <t>Modulo B (aula 1,2 y ludoteca)</t>
  </si>
  <si>
    <t>2.1.2</t>
  </si>
  <si>
    <t>REHABILITACION DE 3 AULAS Incluye:
-Cambio de Cubierta de techo a techo insulado de 2". Incluye estructura de soporte de techo con polín C , pletina, capote, hechura de cepos, tornillería y columnas metalicas.
-Canales, bajadas aguas lluvias que incluye tubería subterránea a cajas de aguas lluvias con sus accesorios.
-Ventanas corredizas y puertas.
-Defensas tipo cuadrícula.
-Piso tipo porcelanato y Zócalo.
-Pintura  a media altura lavable y el resto acrilica.                                              
-Cambio Sistema Electrico que incluye artefactos y dispositivos de acuerdo a especificaciones técnicas y normativa vigente. (Luminarias, tomacorrientes, interruptores, ventiladores, detector de humo y circuito cerrado).
-Pizarra.                                    Incluye desmontajes y desalojos.                                                                    -Nota todas las instalaciones deben quedar  en buenas condisiones de funcionamiento.</t>
  </si>
  <si>
    <t>2.3.0</t>
  </si>
  <si>
    <t>Modulo de sanitarios</t>
  </si>
  <si>
    <t>2.3.1</t>
  </si>
  <si>
    <t xml:space="preserve">REHABILITACION DE MODULO DE SANITARIOS                                   incluye:
-Cambio de Cubierta de techo a techo insulado de 2". Incluye estructura de soporte de techo con polín C , pletina, capote, hechura de cepos, tornillería.
-Canales, bajadas aguas lluvias que incluye tubería subterránea a cajas de aguas lluvias con sus accesorios.
-Ventanas corredizas Y puertas.
-Defensas tipo cuadrícula.
-Piso tipo porcelanato y Zócalo.                     
-Pintura  a media altura lavable y el resto acrilica.                                          -Cambio de inodoros,urinarios y lavamanos.                                          -Enchape a media altura de la pared.                                                 -Cambio Sistema Electrico que incluye artefactos y dispositivos de acuerdo a especificaciones técnicas y normativa vigente. (Luminarias, tomacorrientes, interruptores,etc).                                -Desmontaje y desalojo                                                                               -Nota todas las instalaciones deben quedar  en buenas condisiones de funcionamiento.
</t>
  </si>
  <si>
    <t>2.4.0</t>
  </si>
  <si>
    <t>Salon de Usos Multiples (SUM)</t>
  </si>
  <si>
    <t>2.4.1</t>
  </si>
  <si>
    <t>REHABILITACION DE SALON     DE USOS MULTIPLES                        Incluye:
-Cambio de Cubierta de techo a techo insulado de 2". Incluye estructura de soporte de techo con polín C , pletina, capote, hechura de cepos, tornillería.                 .
-Canales, bajadas aguas lluvias que incluye tubería subterránea a cajas de aguas lluvias con sus accesorios.
-Piso tipo porcelanato y Zócalo.
-Pintura  a media altura lavable y el resto acrilica.                                           -Desmontaje y desalojo</t>
  </si>
  <si>
    <t>CONSTRUCCIONES</t>
  </si>
  <si>
    <t xml:space="preserve">Construcción de bodega, cocina y comedor de acuerdo a planos y especificaciones técnicas, incluyen: suministro de material y mano de obra para la construcción de bodega cocina y comedor de acuerdo a planos y especificaciones técnicas, (el sistema eléctrico a instalar debe llevar tubería rígida).                                                                                    -Nota todas las instalaciones deben quedar  en buenas condisiones de funcionamiento para recepcion de obra. / Incluye trampa de grasa.     </t>
  </si>
  <si>
    <t>REHABILITACIÓN Y CONSTRUCCION DE ADMINISTRACION                 Incluye:
-Cambio de cubierta a techo insulado de 2". Incluye estructura de soporte con polin C, capote, hechura de cepos, tornillería.             -Columna metalica para pasillos (en caso de que la existente este en buenas condisiones aplicar dos manos de anticorrosivo).
-Canales, fascias y bajadas de aguas lluvias, incluye tubería subterránea a cajas de aguas lluvias con sus accesorios.
-Ventanas corredizas y puertas.
-Defensas tipo cuadrícula.
-Piso tipo porcelanato y Zócalo.
-Repello, Afinado y Pintura  a media altura lavable y el resto acrílica.
-Cambio Sistema Eléctrico incluye artefactos y dispositivos de acuerdo a especificaciones técnicas y normativa vigente. (Luminarias, tomacorrientes, interruptores, ventiladores, detector de humo)
-Divisiones internas con pared de clock de 15x20x40cm y fundaciones.
-Desmontajes y desalojos.</t>
  </si>
  <si>
    <t>CONSTRUCCION DE CANCHA DE FUTBOL.                                                  Incluye                                                -Trazo y nivelacion                                 -Base de suelo cemento                       -Piso de concreto 180 kg/cm². Electromalla 6X6 CAL 9/9 E= 7.50cm.                                                 -Piso acrílico multisport. incluye marcación de cancha.                          -Caja de conexion, tuberias para aguas lluvias y sus accesorios.</t>
  </si>
  <si>
    <t>CONSTRUCCION DE SANITARIO PARA MINUSVALIDOS.                            Incluye:                                                      -Fundaciones y paredes de bloque de concreto de 15X20x40cm.                      -Cubierta techo insulado de 2", estructura de soporte con polin C, capote, hechura de cepos, tornillería,Canales, fascias y bajadas de aguas lluvias, incluye tubería subterránea a cajas de aguas lluvias con sus accesorios. 
-Ventanas corredizas y puertas. 
-Defensas tipo cuadrícula. 
-Piso tipo porcelanato y Zócalo de PVC de curva sanitaria. 
-Repello, Afinado y Pintado.                  -Azulejos altura según planos. 
-Sistema eléctrico incluye artefactos y dispositivos de acuerdo a especificaciones técnicas y normativa vigente. (Luminarias, tomacorrientes, interruptores) 
-Servicio sanitario y lavamanos según especificaciones técnicas. 
-Barras de apoyo.                                            -Nota: El costo debe incluir la conexión al sistema de agua potable y sistema de alcantarillado. Buen funcionamiento para recepcion de obra.</t>
  </si>
  <si>
    <t>MURO FACHADA CON TUBO ESTRUCTURAL .                                      Incluye:                                                                  -Exacavacion y construcciones de fundaciones.                                          -Construccion de columnas.                                                       -Construcion de pared de block de concreto de 20X20X40 cm, repellado, afinado y pintado.                                          -Suministro e intalacion de verja a base de tubo cuadro de 2"x2" y tubo rectangular de 2"x1", chapa 14 de acuerdo a planos y especificaciones tecnicas.</t>
  </si>
  <si>
    <t xml:space="preserve">ACCESO PEATONAL PRINCIPAL.                      Incluye:                                                              -Exacavaciones y construciones de fundaciones.                                                     -Construcion de pared de block de concreto de 20X20X40 cm, repellado, afinado y pintado.                                           -Suministro e instalacion de cubierta y estructura de techo, canales, bajadas de aguas lluvias, cielo falso.                                             -Puerta de acceso.                                                             -Sistema electrico (luminaria y timbre)                                                 -Area de espera                                                      -Area de saneamiento (lavamanos de pedal con instalaciones hidraulicas)                                        -Sumintro e intalaciones de letras acrilicas y placa. </t>
  </si>
  <si>
    <t>Suministro de mano de obra y material para la construccion de mesas, baco y sombra para el area recreativa.</t>
  </si>
  <si>
    <t>Suministro e instalacion de banca metalica para exterior. Marco de acero con respaldo de hierro fundido. Capacidad minima de peso de 550 lb. Dimensiones de 127X60X85 cm.</t>
  </si>
  <si>
    <t>Contenedor de basura tipo plastico con ruedas traseras, tapa desplegable. Tres compartimiento, dimensiones minimas de cada uno de 72X59X93 cm. cada compartimiento debe poseer color distintivo para cada tipo de desecho.</t>
  </si>
  <si>
    <t>Suministro y montaje de Bomba de 2 HP 240 volts tipo centrífuga, de una etapa, succión simple, impulsor cerrado o semiabierto, eje horizontal y pozo sumidero (0 a 5m.) y deberá ser capaz de generar al menos 33 g.p.m. a una carga dinámica de 73 pies incluye granada, manómetro. El sistema deberá trabajar a 21 PSI -NOTA: debe quedar en buenas condiciones de funcionamiento.</t>
  </si>
  <si>
    <t xml:space="preserve">Suministro e instalación de Tubería de PVC 1/2"  315 psi, incluye accesorios tales como codos, uniones, tapones, tees, y cualquier otro accesorio de acople o conexión </t>
  </si>
  <si>
    <t xml:space="preserve">Suministro e instalación de Tubería de PVC 2"  100psi, incluye accesorios para acople y conexiones, excavación, compactación. </t>
  </si>
  <si>
    <t>Acceso peatonal al area recreativa</t>
  </si>
  <si>
    <t>4.7.1</t>
  </si>
  <si>
    <t>Suministro e instalacion de puerta de una hoja con elementos verticales y diagonales de tubo estructural de 2''X1'' chapa 14, contramarco con angulo de 2''X2'', pintado con 2 manos de anticorresivo y una mano de esmalte color negro, incluye 3 bisagras por hoja, chapa de parche de primera calidad. Segun detalles en plano.</t>
  </si>
  <si>
    <t>u</t>
  </si>
  <si>
    <t>Juego para area recreativa</t>
  </si>
  <si>
    <t>4.8.1</t>
  </si>
  <si>
    <t>Acabados</t>
  </si>
  <si>
    <t>4.8.1.1</t>
  </si>
  <si>
    <t>Suministro e instalación de juegos infantiles para Parvularia de madera, con torre, deslizadores y columpios para un área de 4.80m x 4.80m.</t>
  </si>
  <si>
    <t>4.8.1.2</t>
  </si>
  <si>
    <t>Suministro e instalación de juegos infantiles para Parvularia, Casa de juegos con tobogán plasticos.</t>
  </si>
  <si>
    <t>Area de aseo</t>
  </si>
  <si>
    <t>4.9.1</t>
  </si>
  <si>
    <t>Posea de aseo 1x0.55 m, pretil de block de 10x20x40 cm, enchapado con azulejo. Incluye fundacion.</t>
  </si>
  <si>
    <t>Muro prefabricado</t>
  </si>
  <si>
    <t>4.10.1</t>
  </si>
  <si>
    <t>Obras preliminares</t>
  </si>
  <si>
    <t>4.10.1.1</t>
  </si>
  <si>
    <t>Desmontaje de cerca perimetral existente de malla ciclon con postes de cobncreto o metalicos.</t>
  </si>
  <si>
    <t>4.10.2</t>
  </si>
  <si>
    <t>Obras de construccion</t>
  </si>
  <si>
    <t>4.10.2.1</t>
  </si>
  <si>
    <t>Suministro e instalación de muro prefabricado con sistema de losetas prefabricadas. Incluye preparación de suelo, excavación, compactación y fijación de postes, según especificaciones del fabricante.</t>
  </si>
  <si>
    <t>4.10.2.2</t>
  </si>
  <si>
    <t>Suministro e instalación de alambre razor de acero inoxidable, incluye tensor alambre de púas y escuadras con ángulo de 1 " x 1/8" @1.50m</t>
  </si>
  <si>
    <t>Areas engramadas</t>
  </si>
  <si>
    <t>4.11.1</t>
  </si>
  <si>
    <t>Trazo y nivelacion</t>
  </si>
  <si>
    <t>4.11.2</t>
  </si>
  <si>
    <t>Suministro y colocación de relleno compactado suelo-cemento. 20:1 (c/mat. selecto).</t>
  </si>
  <si>
    <t>m³</t>
  </si>
  <si>
    <t>4.11.3</t>
  </si>
  <si>
    <t>Engramado con grama San agustin</t>
  </si>
  <si>
    <t>Caminamientos y aceras</t>
  </si>
  <si>
    <t>Suministro e instalación de piso de concreto 180 kg/cm². Electromalla 6X6 CAL 9/9 E= 7.50cm</t>
  </si>
  <si>
    <t>4.11.4</t>
  </si>
  <si>
    <t>Hechura de junta  de dilatacion en concreto 1"x1/8" con cortadora disco/diamante incluye mat de respaldo y sello. junta con aditivo elastomérico y cordón de respaldo de espuma de polietileno</t>
  </si>
  <si>
    <t>4.11.5</t>
  </si>
  <si>
    <t>Sunistro e intalacion de baldosas podotactiles de 0.2X0.2 m, e=0.05 m, concreto con resistencia de 210 kg/cm2. Tipo franjas y botones, segun diseño para señalizar caminamientos.</t>
  </si>
  <si>
    <t>Drenajes de aguas lluvias</t>
  </si>
  <si>
    <t>4.12.1</t>
  </si>
  <si>
    <t>Construcción de caja de conexión de aguas lluvias de 0.50x0.50x0.60 m, (cotas Internas)con base de concreto, pared de ladrillo de barro p/lazo repelladas y afinadas SC 0.15x0.10 2N°3 GN°2 a cada 0.15 mts, tapadera de concreto E=0.10 mts N°3 a cada 0.15 mtsA.S. Fc= 210 Kg/cm².</t>
  </si>
  <si>
    <t>4.12.2</t>
  </si>
  <si>
    <t xml:space="preserve">Suministro e instalación Tubería de PVC Ø 6” 100 psi, incluye accesorios para acople y conexiones, excavación, compactación. </t>
  </si>
  <si>
    <t>Nota: El costo debe incluir la conexión al sistema de agua potable y sistema de alcantarillado. Buen funcionamiento para recepcion de obra.</t>
  </si>
  <si>
    <t xml:space="preserve">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a las normativas vigentes y especificaciones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-Sistema de vigilancia con circuito cerrado y camaras.
- Incluye pagos y trámites de compañía eléctrica y certificación de las instalaciones. </t>
  </si>
  <si>
    <t>SG</t>
  </si>
  <si>
    <t>MEDIDAS AMBIENTALES Y SOCIALES</t>
  </si>
  <si>
    <t>Medidas Ambientales (ver documento complementario PGAS)</t>
  </si>
  <si>
    <t>s/g</t>
  </si>
  <si>
    <t>Medidas Sociales (Capacitaciones, rótulo, consultas, asambleas, oficina de queja, teléfono, buzones, etc.) (ver documento complementario PGAS)</t>
  </si>
  <si>
    <t>Reubicacion Temporal Adecuaciones</t>
  </si>
  <si>
    <t>Reubicacion Temporal Arrendamiento (incluye pagos de servicios basicos)</t>
  </si>
  <si>
    <t>COSTO DIRECTO</t>
  </si>
  <si>
    <t>SUB-TOTAL 1 (DIRECTO, INDIRECTO MAS IMPREVISTOS)</t>
  </si>
  <si>
    <t>SUB-TOTAL 2 (SUB-TOTAL 1 MAS IVA)</t>
  </si>
  <si>
    <t>TOTAL</t>
  </si>
  <si>
    <t xml:space="preserve">ACTIVIDAD </t>
  </si>
  <si>
    <t xml:space="preserve"> COSTO TOTAL</t>
  </si>
  <si>
    <t>Demolicion, desmontaje y desalojo</t>
  </si>
  <si>
    <t xml:space="preserve">Rehabilitaciones </t>
  </si>
  <si>
    <t>Contrucciones nuevas</t>
  </si>
  <si>
    <t>Obras complementarias exteriores</t>
  </si>
  <si>
    <t>Obras complementarias electricas</t>
  </si>
  <si>
    <t>Medidas ambientales y sociales</t>
  </si>
  <si>
    <t>IMPREVISTOS (10%)</t>
  </si>
  <si>
    <t>COSTO INDIRECTO (40%)</t>
  </si>
  <si>
    <t>SUB-TOTAL 1(DIRECTO, INDIRECTO MAS IMPREVISTOS)</t>
  </si>
  <si>
    <t>IVA</t>
  </si>
  <si>
    <t>ARANCELES DE CONSTRUCCION 5%</t>
  </si>
  <si>
    <t>PRESUPUESTO DE CONSTRUCCION DE CANCHA (A=107.5 m2).</t>
  </si>
  <si>
    <t xml:space="preserve">DESCRIPCIÓN </t>
  </si>
  <si>
    <t>PRECIO UNITARIO    DIRECTO</t>
  </si>
  <si>
    <t>SUB TOTAL</t>
  </si>
  <si>
    <t>3.3.1</t>
  </si>
  <si>
    <t>3.3.2</t>
  </si>
  <si>
    <t>3.3.3</t>
  </si>
  <si>
    <t>3.3.4</t>
  </si>
  <si>
    <t>Hechura de junta  de dilatacion en concreto 1"x1/8" con cortadora disco/diamante incluye mat de respaldo y sello. junta con aditivo elastomérico y cordón de respaldo de espuma de polietileno.</t>
  </si>
  <si>
    <t>3.3.5</t>
  </si>
  <si>
    <t>Suministro e instalación de piso acrílico multisport. incluye marcación de cancha (máximo dos marcaciones)</t>
  </si>
  <si>
    <t>COSTO DIRECTO POR M2</t>
  </si>
  <si>
    <t>PRESUPUESTO DE REHABILITACIÓN  Y AMPLIACION DE ADMINISTRACION 6..2m x 7.0m CON PASILLOS 2.9m Y 2.5 m (A=86.07 m2).</t>
  </si>
  <si>
    <t>TOTAL POR MODULO</t>
  </si>
  <si>
    <t>3.2.0</t>
  </si>
  <si>
    <t>Rehabilitacion y ampliacion de administracion</t>
  </si>
  <si>
    <t>3.2.1</t>
  </si>
  <si>
    <t>3.2.1.1</t>
  </si>
  <si>
    <t>3.2.1.2</t>
  </si>
  <si>
    <t>Excavacion a mano para fundacion (h&lt;1.5 m)</t>
  </si>
  <si>
    <t>3.2.1.3</t>
  </si>
  <si>
    <t>Relleno compactado conmaterial libre de materia organica en fundaciones (factor de abundamiento considerado 1.4)</t>
  </si>
  <si>
    <t>3.2.1.4</t>
  </si>
  <si>
    <t>Construcción de solera de Fundación SF-2 (30 cmx25 cm)  4#3; Est #3@0.15</t>
  </si>
  <si>
    <t>3.2.1.5</t>
  </si>
  <si>
    <t>Pared de Bloque de Concreto 15X20X40 CM. RV N°4@0.40M, RH N°2@0.40. Incluye llenado de bastones.</t>
  </si>
  <si>
    <t>3.2.1.6</t>
  </si>
  <si>
    <t>Suministro e instalacion de piso de concreto 180kg/cm2.</t>
  </si>
  <si>
    <t>3.2.2</t>
  </si>
  <si>
    <t>Cubierta de techos y drenaje de aguas lluvias.</t>
  </si>
  <si>
    <t>3.2.2.1</t>
  </si>
  <si>
    <r>
      <t>Suministro e instalación de Panel de techo tipo Sándwich, espesor de 20 mm,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
Machimbrado con junta de neopreno para evitar puente térmico. Incluye Estructura de soporte de techo con polín C y tornillería. Sobre los tornillos autorroscantes se deberá de colocar material bituminoso o un sellador impermeabilizante elastómero acrílico a base de agua, incluye dos manos de pintura anticorrosiva, una mano de pintura de aceite color blanco en estructura de techo, hechura de cepos.                               -</t>
    </r>
    <r>
      <rPr>
        <b/>
        <sz val="10"/>
        <color theme="3" tint="-0.249977111117893"/>
        <rFont val="Swis721 Cn BT"/>
        <family val="2"/>
      </rPr>
      <t>Desmontaje y desalojos de estructura de techos, cubiertas y cielos falsos existentes y otros que se requieran.</t>
    </r>
  </si>
  <si>
    <t>3.2.2.2</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</si>
  <si>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</si>
  <si>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Desmontaje de estructura de techo existente para cubierta de lamina zinc-alum</t>
  </si>
  <si>
    <t>Desmontaje de cubierta</t>
  </si>
  <si>
    <t>Desmontaje de cielo falso existente, incluye losetas, perfileria, receptaculos, lamparas y ventiladores.</t>
  </si>
  <si>
    <t>Suministro e instalación de columna metálica caño HO Go 4" Cedula 40. Incluye dos manos de anticorrosivo.(Usar colores diferentes) y esmalte, considerar fundación del elemento embebido en pilastra de concreto 210 kg/cm² de 0.40cm de diámetro, 20% de la dimensión del elemento embebido.</t>
  </si>
  <si>
    <t>3.2.3</t>
  </si>
  <si>
    <t>3.2.3.1</t>
  </si>
  <si>
    <t xml:space="preserve">Suministro e instalación de Porcelanato de 60x60, color beige acabado mate, espesor 9 mm, pei 5, tráfico intenso. Pegamento especial para porcelanato </t>
  </si>
  <si>
    <t>3.2.3.2</t>
  </si>
  <si>
    <t xml:space="preserve">Suministro e instalación de Porcelanato anti deslizante de 60x60, color beige acabado mate, espesor 9 mm, pei 5, tráfico intenso. Pegamento especial para porcelanato. </t>
  </si>
  <si>
    <t>3.2.3.3</t>
  </si>
  <si>
    <t>Suministro e instalación de Zócalo sanitario de PVC, color blanco.</t>
  </si>
  <si>
    <t>3.2.3.4</t>
  </si>
  <si>
    <t>Suministro e instalación de Zócalo de porcelanato o cerámica de alto trafico de h=7.5cm. color a escoger.</t>
  </si>
  <si>
    <t>3.2.3.5</t>
  </si>
  <si>
    <t xml:space="preserve">Suministro y aplicación de repello de superficies verticales hasta E=0.02 M= 1:4, usando cemento de albañilería ASTM  C-91 y arena de rio colada. </t>
  </si>
  <si>
    <t>3.2.3.6</t>
  </si>
  <si>
    <t>Suministro y aplicación de afinado en superficies verticales E=2mm, con mezcla prefabricada para afinados.</t>
  </si>
  <si>
    <t>3.2.3.7</t>
  </si>
  <si>
    <t xml:space="preserve">Suministro y aplicación de pintura de agua acrílica de primera calidad, acabado mate, incluye limpieza y preparación de paredes con base. Dos manos acabado uniforme. </t>
  </si>
  <si>
    <t>3.2.3.8</t>
  </si>
  <si>
    <t>Suministro y aplicación de pintura de agua acrílica lavable de primera calidad, acabado mate, incluye limpieza y preparación de paredes con base. Dos manos acabado uniforme. Hasta media altura.</t>
  </si>
  <si>
    <t>3.2.3.9</t>
  </si>
  <si>
    <t>Suministro y colocación de enchape de azulejos. Piezas cerámicas esmaltada brillante, resistente a la humedad, abrasión y rayado de 20x30 cm color blanco con adhesivo especial para cerámica NORMA ANSI 118.4 de la mejor calidad. Y porcelana sin arena, alta resistencia al desgaste NORMA ANSI 118.6 color blanco.</t>
  </si>
  <si>
    <t>3.2.4</t>
  </si>
  <si>
    <t>Ventanas</t>
  </si>
  <si>
    <t>3.2.4.1</t>
  </si>
  <si>
    <t>Desmontaje de defensa metálica en ventana existente.</t>
  </si>
  <si>
    <t>3.2.4.2</t>
  </si>
  <si>
    <t>Hechura e instalación de defensa metálica con hierro cuadrado de 1/2", incluye dos manos de anticorrosivo, 2 diferentes colores y 1 mano de pintura esmalte.</t>
  </si>
  <si>
    <t>3.2.4.3</t>
  </si>
  <si>
    <t>Suministro e instalación de ventana corrediza, perfilería de aluminio anodizado natural pesado, y vidrio laminado claro de 6mm, incluye desmontaje de ventana existente y sello en todo el contorno exterior e interior con sellador elastomérico impermeable acrílico base agua color negro o claro. Incluye desalojo.</t>
  </si>
  <si>
    <t>3.2.5</t>
  </si>
  <si>
    <t>Puertas</t>
  </si>
  <si>
    <t>3.2.5.1</t>
  </si>
  <si>
    <t xml:space="preserve">Suministro e instalación de puerta de plywood de 1/2" y marco de costanera, chapa de pomo, Ancho= 0.80 mts x Alto=1.80 mts. </t>
  </si>
  <si>
    <t>3.2.5.2</t>
  </si>
  <si>
    <t>Suministro e instalación de puertas 2,0 x 1.0 m) incluye contra marco de ángulo de marcos de tubo estructural cuadrado de 1" chapa 16 y refuerzos de tubo cuadrado de 1", doble forro de lamina negra 1/16", incluye dos manos de pintura anticorrosiva cada una en color diferente (rojo y verde) y dos manos de pintura de aceite de la mejor calidad y chapa.</t>
  </si>
  <si>
    <t>3.2.5.3</t>
  </si>
  <si>
    <t>Suministro e instalación puerta abatible de una Hoja, Fabricada en Acero Rolado en Frio de 0.73 mm G40, con refuerzo para ventanilla y manija, mocheta SR de una hoja, fabricada en acero G-40 Cal. 16, con pintura al horno, con Refuerzos Internos para 3 Bisagras de 4”, cerradura de Entrada Llave/MAriposa cromada con cilindro de latón 70 mm, Ventana 4x27” con Marco y contramarco, vidrio claro de 7 mm. de acero rolado en frio de 0.80 mm con tornillería interna y Sello contra humedad. Deben quedar  en buenas condisiones de funcionamiento.</t>
  </si>
  <si>
    <t>3.2.6</t>
  </si>
  <si>
    <t>Artefactos sanitarios</t>
  </si>
  <si>
    <t>3.2.6.1</t>
  </si>
  <si>
    <t>Suministro e instalación de mingitorio ecológico color blanco, incluye accesorios, incluye sello elastomérico impermeable acrílico base agua color blanco. Deben quedar  en buenas condisiones de funcionamiento.</t>
  </si>
  <si>
    <t>3.2.6.2</t>
  </si>
  <si>
    <t>Suministro e instalación de lavamanos de pedestal, de un agujero, loza vitrificada, cero absorción a la humedad, incluye grifo y accesorios de instalación.</t>
  </si>
  <si>
    <t>3.2.6.3</t>
  </si>
  <si>
    <t>Suministro e instalación de inodoro de porcelana, alto desempeño, taza tipo elongada doble descarga 4/6 lpf, incluye tubo de abasto flexible y válvula de control y sus accesorios, asiento y tapadera</t>
  </si>
  <si>
    <t>3.2.7</t>
  </si>
  <si>
    <t>Instalaciones electricas</t>
  </si>
  <si>
    <t>3.2.7.1</t>
  </si>
  <si>
    <t>Suministro e instalación de Tomacorriente Doble Polarizado Cuerpo Entero 20 amperios, Configuración Nema 5-20R, 3 Hilos, 20 Amp,125 V, de nylon extrafuerte, resistente al alto impacto, color marfil, placa de acero inoxidable, caja rectangular de 4"x2", de hierro galvanizado pesada. Incluye canalización, alambrado y conexión de circuito.                Deben quedar  en buenas condisiones de funcionamiento.</t>
  </si>
  <si>
    <t>3.2.7.2</t>
  </si>
  <si>
    <t>Suministro y Montaje Salida para Toma doble polarizado 15A. 120V. Uso general. Incluye 2 cables THHN # 12+1 cable THHN #14 ducto Ø 3/4" herrajes de montaje, la tubería superficial deberá ser metálica galvanizada para interiores EMT rígida con sus accesorios.</t>
  </si>
  <si>
    <t>3.2.7.3</t>
  </si>
  <si>
    <t>Suministro y Montaje Salida para Luminaria 120V. Incluye 2 cables THHN #12+ 1 cable THHN #14 ducto Ø 1/2" herrajes de montaje anclas y tornillos, cinchas plásticas, abrazaderas, la tubería superficial deberá ser metálica galvanizada para interiores EMT rígida con sus accesorios.</t>
  </si>
  <si>
    <t>3.2.7.4</t>
  </si>
  <si>
    <t>Suministro y Montaje de Interruptor Sencillo 15 A. 120V. Tipo dado, con su placa metálica acero inoxidable, en caja rectangular 4"x2" ho. galv. pesada. Incluye canalización y alambrado.</t>
  </si>
  <si>
    <t>3.2.7.5</t>
  </si>
  <si>
    <t>Suministro e instalación de luminaria compacta, bombillo LED, de 14 WATTS, 120 V; montado en caja octogonal ho. galv. Pesada, receptáculo fijo de baquelita, rosca metálica completa, contacto fijo al centro. Incluye canalización, alambrado y conexión de circuito.</t>
  </si>
  <si>
    <t>3.2.7.6</t>
  </si>
  <si>
    <t>Suministro e instalación Luminaria gabinete de 1´x4´ tubos LED 2 X18 Watts, 120V, de empotrar en cielo falso, difusor plástico blanco cuadriculado tipo rejilla, tubo T-8, Tipo luz de día, Incluye alambrado, Canalización, conexión de circuito y Polarización ( Conductor chaqueta aislante verde  Terminal de Ojo).</t>
  </si>
  <si>
    <t>3.2.7.7</t>
  </si>
  <si>
    <t>Suministro e instalación de Ventilador de Techo Tipo Industrial con 3 Aspas Metálicas, 120V, 3 a 5 Velocidades, color blanco, incluye control de velocidad, canalización y alambrado, con certificación UL. Incluye canalización, alambrado y conexión de circuito.</t>
  </si>
  <si>
    <t>3.2.7.8</t>
  </si>
  <si>
    <t xml:space="preserve">Suministro e instalación de estructura metálica tipo pata de gallina para el montaje de ventilador de techo tipo industrial. </t>
  </si>
  <si>
    <t>3.2.7.9</t>
  </si>
  <si>
    <t>Suministro e instalación de detector de humo, alimentado con una batería de 9 voltios, sirena audible de 85 decibeles o mayor, certificación UL 217 FIRST ALERT, con botón de prueba y silencio. Ver plano. Se deberá de presentar tres diferentes modelos para su previa aprobación.</t>
  </si>
  <si>
    <t>PRESUPUESTO DE REHABILITACIÓN DE UN MODULO DE SANIATRIOS TIPO 2.80m x 7.0m CON PASILLO 1.8m (A=32.2 m2).</t>
  </si>
  <si>
    <t>PRECIO UNITARIO    INCLUYE IVA              (US $)</t>
  </si>
  <si>
    <t xml:space="preserve">CAMBIO DE CUBIERTA DE TECHO </t>
  </si>
  <si>
    <t>Panel de techo tipo Sándwich, espesor de 20 mm,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
Machimbrado con junta de neopreno para evitar puente térmico. Incluye Estructura de soporte de techo con polín C y tornillería. Sobre los tornillos autorroscantes se deberá de colocar material bituminoso o un sellador impermeabilizante elastómero acrílico a base de agua, incluye dos manos de pintura anticorrosiva, una mano de pintura de aceite color blanco en estructura de techo, hechura de cepos.</t>
  </si>
  <si>
    <t>m²</t>
  </si>
  <si>
    <t>DRENAJES DE AGUAS LLUVIAS</t>
  </si>
  <si>
    <t>Suministro e instalación de bajadas de aguas lluvias con tubería PVC Ø 4", 125 PSI. Sujetados con cinchos de platina de 1/8"x1", fijados con tornillo goloso de 2"x10 y anclas plásticas. Incluye tubería subterránea a cajas de aguas lluvias en cancha y patio. Incluye accesorios.</t>
  </si>
  <si>
    <t xml:space="preserve">ACABADOS </t>
  </si>
  <si>
    <t>Suministro e instalación de Fascia altura de 0.40m y corniza de ancho 0.40 a 1,0m, con contramarco de cañuela de 2x1" chapa 16 y estructura de arriostramientos de tubo estructural de 2"x1" @2.44m y Refuerzos verticales de tubo 1"x1" chapa 14 @0.61m, pintada con dos manos de anticorrosivo de diferente color; anclado a estructura de techo; incluye forro de densglass para exterior, resistente a la humedad repellada con basecoat y pintada con dos manos de pintura de agua.</t>
  </si>
  <si>
    <t>Suministro y aplicación de pintura de agua acrílica de primera calidad, acabado mate, incluye limpieza y preparación de paredes con base. Dos manos acabado uniforme. Desde de media altura.</t>
  </si>
  <si>
    <t>Suministro e instalación de División de perfil laminado anodizado y forro de melamina, con pieza de aluminio anodizado al natural de 1” x 1 1/2", e=0.015m color a definir por administrador.</t>
  </si>
  <si>
    <t>SISTEMAS ELÉCTRICOS E ILUMINACIÓN</t>
  </si>
  <si>
    <t>C/U</t>
  </si>
  <si>
    <t>Suministro y Montaje Salida para Luminaria 120V. Incluye 2 cables THHN #12+ 1 cable THHN #14 ducto Ø 1/2" herrajes de montaje anclas y tornillos, cinchas plásticas, abrazaderas,la tubería superficial deberá ser metálica galvanizada para interiores EMT rígida con sus accesorios.</t>
  </si>
  <si>
    <t>Suministro e instalación de Tomacorriente Doble Polarizado Cuerpo Entero 20 amperios, Configuración Nema 5-20R, 3 Hilos, 20 Amp,125 V, de nylon extrafuerte, resistente al alto impacto, color marfil, placa de acero inoxidable, caja rectangular de 4"x2", de hierro galvanizado pesada.</t>
  </si>
  <si>
    <t>Suministro y Montaje de Interruptor Sencillo 15 A. 120V. Tipo dado, con su placa metálica acero inoxidable, en caja rectangular 4"x2" ho. galv. pesada.</t>
  </si>
  <si>
    <t>Suministro y Montaje de Interruptor Doble 15 A. 120V. Tipo dado, con su placa metálica acero inoxidable, en caja rectangular 4"x2" ho. galv.pesada</t>
  </si>
  <si>
    <t>Suministro e instalación de luminaria compacta, bombillo LED, de 14 WATTS, 120 V; montado en caja rectangular 4"x2" ho. galv. Pesada, receptáculo fijo de baquelita, rosca metálica completa, contacto fijo al centro. Incluye canalizacion, alambrado  y conexion de circuito.</t>
  </si>
  <si>
    <t>Suministro e instalación Luminaria gabinete de 1´x4´ tubos LED 2 X18 Watts, 120V, de empotrar en cielo falso, difusor plástico blanco cuadriculado tipo rejilla, tubo T-8, Tipo luz de día, Incluye alambrado, Canalización y Polarización (Conductor chaqueta aislante verde  Terminal de Ojo), la tubería superficial deberá ser metálica galvanizada para interiores EMT rígida con sus accesorios.</t>
  </si>
  <si>
    <t>Suministro e instalación de Ventilador de Techo Tipo Industrial con 3 Aspas Metálicas, 120V, 3 a 5 Velocidades, color blanco, incluye control de velocidad, canalización y alambrado, con certificación UL la tubería superficial deberá ser metálica galvanizada para interiores EMT rígida con sus accesorios.</t>
  </si>
  <si>
    <t>C/U </t>
  </si>
  <si>
    <t xml:space="preserve">Suministro e instalación de luminaria de emergencia, con bombillo LED fijos de color blanco 120 Voltios, 7 Watts fabricada en plástico inyectado, batería sellada, tiempo de respaldo de 90 minutos, montaje en pared. Incluye alambrado y canalizado con tubería rígida EMT UL para salidas de luminarias, cajas rectangulares fijas en estructura de techo, la tubería superficial deberá ser metálica galvanizada para interiores EMT rígida con sus accesorios. </t>
  </si>
  <si>
    <t>PUERTAS</t>
  </si>
  <si>
    <t>Suministro e instalación puerta abatible de una Hoja, Fabricada en Acero Rolado en Frio de 0.73 mm G40, con refuerzo para ventanilla y manija, mocheta SR de una hoja, fabricada en acero G-40 Cal. 16, con pintura al horno, con Refuerzos Internos para 3 Bisagras de 4”, cerradura de Entrada Llave/MAriposa cromada con cilindro de latón 70 mm, Ventana 4x27” con Marco y contramarco, vidrio claro de 7 mm. de acero rolado en frio de 0.80 mm con tornillería interna y Sello contra humedad.</t>
  </si>
  <si>
    <t>Suministro e instalación puerta pivotada para baños de acero inoxidable AISI 304 de 0.8mm de espesor, separada de piso 30cms. Incluye todos sus accesorios para ensamblaje con tornilleria antivandálica</t>
  </si>
  <si>
    <t>VENTANA</t>
  </si>
  <si>
    <t>PISOS</t>
  </si>
  <si>
    <t xml:space="preserve">Suministro e instalación de Porcelanato antideslizante de 60x60, color beige acabado mate, espesor 9 mm, pei 5, tráfico intenso. Pegamento especial para porcelanato </t>
  </si>
  <si>
    <t>ARTEFACTOS SANITARIOS</t>
  </si>
  <si>
    <t>Suministro e instalación de mingitorio ecológico color blanco, incluye accesorios, incluye sello elastomérico impermeable acrílico base agua color blanco.</t>
  </si>
  <si>
    <t xml:space="preserve">Suministro e instalación de lavamanos de pedestal, de un agujero, loza vitrificada, cero absorción a la humedad, incluye grifo y accesorios de instalación. </t>
  </si>
  <si>
    <t>BARRAS DE ACERO INOXIDABLE DE 18 Y 36"X1¼" PARA APOYO DE PERSONAS CON DISCAPACIDAD</t>
  </si>
  <si>
    <t>\</t>
  </si>
  <si>
    <t>Suministro e instalación de Inodoro infantil, porcelana vitrificada. válvula de control y tubo de abasto flexible. medidas antropométricas para niños de Parvularia. taza: redonda, dimensiones generales: ancho:304 x largo:584 x alto:604 mm tipo de descarga y consumo: single flush 4.8 lpf, capacidad de evacuación: 250gr. Incluye asiento y accesorios.</t>
  </si>
  <si>
    <t xml:space="preserve">Desmontaje de artefactos sanitarios </t>
  </si>
  <si>
    <t>COSTO DE REHABILITACION DE MODULO DE SANITARIOS INCLYE DIRECTO, INDIRECTO(45%) MAS IVA</t>
  </si>
  <si>
    <t>COSTO DE REHABILITACION DE MODULO DE SANITARIOS, COSTO DIRECTO POR M2</t>
  </si>
  <si>
    <t>PRESUPUESTO DE REHABILITACIÓN DE UN AULA TIPO 6.0m x 7.0m CON PASILLO DE 2.90m (A=62.3m2)</t>
  </si>
  <si>
    <t>Suministro y aplicación de pintura de agua acrílica lavable de primera calidad, acabado mate, incluye limpieza y preparación de paredes con base. Dos manos acabado uniforme. Hasta media altura de pared internas. (desde el nivel de piso hasta media altura)</t>
  </si>
  <si>
    <t>Suministro y aplicación de pintura de agua acrílica de primera calidad, acabado mate, incluye limpieza y preparación de paredes con base. Dos manos acabado uniforme desde media altura hasta los mojinetes.</t>
  </si>
  <si>
    <t>Desmontaje de puertas metálicas existentes, eliminar pines, resane de hueco de donde se eliminó el pin (Se entregarán por medio de Acta al Director del Centro Escolar)</t>
  </si>
  <si>
    <t>PIZARRA Y MUEBLE</t>
  </si>
  <si>
    <t>Hechura y suministro  de mueble M-3 de estructura de Cedro y entrepaños de plywood</t>
  </si>
  <si>
    <t>Suministro y Mano de obra para la elaboración de pizarra, incluye desmontaje de pizarra exixtente e intalacion.</t>
  </si>
  <si>
    <t>TOTAL DE REABILITACION INCLUYE DIRECTO, INDIRECTO 45% E IVA</t>
  </si>
  <si>
    <t>TOTAL DE REABILITACION COSTO DIRECTO POR M2</t>
  </si>
  <si>
    <t>PRESUPUESTO DE CERCA PERIMETRAL Y ACCESO PEATONAL</t>
  </si>
  <si>
    <t>3.7.2</t>
  </si>
  <si>
    <t>Cerca perimetral de tubo estructural</t>
  </si>
  <si>
    <t>COSTO DIRECTO POR ML</t>
  </si>
  <si>
    <t>3.7.2.1</t>
  </si>
  <si>
    <t>Excavación a mano hasta 1.50 m                        ( Material semiduro) en Fundaciones</t>
  </si>
  <si>
    <t>3.7.2.2</t>
  </si>
  <si>
    <t>Zapata Corrida ZM-1, ref long. 6#3, ref. trans #3 @ 0.20 m</t>
  </si>
  <si>
    <t>3.7.2.3</t>
  </si>
  <si>
    <t>Pared de Bloque de Concreto 20X20X40 CM. RV N°4@0.40M, RH N°2@0.40. Incluye llenado de bastones.</t>
  </si>
  <si>
    <t>m</t>
  </si>
  <si>
    <t>3.7.2.4</t>
  </si>
  <si>
    <t>Columna de concreto C-1, REF. 6 #4 Y ESTR. #3 @ 15 sm, concreto fc: 210 kg/cm2</t>
  </si>
  <si>
    <t>3.7.2.5</t>
  </si>
  <si>
    <t>Columna de concreto C-2, REF. 6 #4 Y ESTR. #3 @ 15 sm, concreto fc: 210 kg/cm2</t>
  </si>
  <si>
    <t>3.7.2.6</t>
  </si>
  <si>
    <t>Zapata Z-2 1.3X1.3, ref. #3 A.S. @ 15cm</t>
  </si>
  <si>
    <t>3.7.2.7</t>
  </si>
  <si>
    <t>3.7.2.8</t>
  </si>
  <si>
    <t>VERJA A BASE DE TUBO CUADRADO DE 2X2" Y TUBO RECTANGULAR DE 2X1", CHAPA 14</t>
  </si>
  <si>
    <t>3.7.3</t>
  </si>
  <si>
    <t>Acceso peatonal principal</t>
  </si>
  <si>
    <t>3.7.3.1</t>
  </si>
  <si>
    <t xml:space="preserve">Trazo y nivelación </t>
  </si>
  <si>
    <t>3.7.3.2</t>
  </si>
  <si>
    <t>Excavación a mano hasta 1.50 m ( Material semiduro) en Fundaciones</t>
  </si>
  <si>
    <t>3.7.3.3</t>
  </si>
  <si>
    <t>Relleno Compactado con Suelo-Cemento 20:1 con material areno limoso en sobrexcavación</t>
  </si>
  <si>
    <t>3.7.3.4</t>
  </si>
  <si>
    <t>Zapata Z-3  1.0X1.0, ref. #3 A.S. @ 15cm</t>
  </si>
  <si>
    <t>3.7.3.5</t>
  </si>
  <si>
    <t>3.7.3.6</t>
  </si>
  <si>
    <t>Tensor, 20x20 cm, 4 Ho. # 4, est. # 3 @ 15 cm. f'c= 210 kg/cm2 para estabilizar las columnas.</t>
  </si>
  <si>
    <t>3.7.3.7</t>
  </si>
  <si>
    <t>Columna de concreto C-3, REF. 6 #4 Y ESTR. #3 @ 15 sm, concreto fc: 210 kg/cm2</t>
  </si>
  <si>
    <t>3.7.3.8</t>
  </si>
  <si>
    <t>3.7.3.9</t>
  </si>
  <si>
    <t>Suministro y aplicación de repello de superficies verticales hasta E=2cm, con mezcla prefabricada para repellos.</t>
  </si>
  <si>
    <t>3.7.3.10</t>
  </si>
  <si>
    <t>Suministro y aplicación de afinado en superficies verticales mortero 1:1 con cemento para albañilería ASTM C-91 y arena de río colada.</t>
  </si>
  <si>
    <t>3.7.3.11</t>
  </si>
  <si>
    <t>Construcción de pretil para final de piso, h=0.20</t>
  </si>
  <si>
    <t>3.7.3.12</t>
  </si>
  <si>
    <t>Suministro e instalación de cubierta de techo de lámina de aluminio y zinc calibre 24 incluye estructura de polín C de 4", tornillo autorroscante acero inoxidable galvanizado de 1 y de 3/4 de pulgada con arandela de neopreno. Sobre los tornillos autorroscantes se deberá de colocar material bituminoso o un sellador impermeabilizante elastómero acrílico a base de agua. Dos manos de pintura anticorrosiva (rojo y verde), una mano de pintura de aceite color blanco en estructura de techo total. Hechura de cepos repellados, afinados y pintados en ambas caras. Instalación de capote de aluminio y zinc calibre 24, instalación de aislante térmico de aluminio y polietileno de 10mm de espesor.</t>
  </si>
  <si>
    <t>3.7.3.13</t>
  </si>
  <si>
    <t>Suministro y Construcción de Cielo Falso con tabla yeso anti humedad, con perfilería de lámina galvanizada cal. 26. Según especificaciones en planos.</t>
  </si>
  <si>
    <t>3.7.3.14</t>
  </si>
  <si>
    <t>Volumen saliente en pared del sector del acceso peatonal</t>
  </si>
  <si>
    <t>S.G</t>
  </si>
  <si>
    <t>3.7.3.15</t>
  </si>
  <si>
    <t>Suministro e instalación de bajadas de aguas lluvias con tubería PVC Ø 4", 100 PSI. Sujetados con cinchos de platina de 1/8"x1", fijados con tornillo goloso de 2"x10 y anclas plásticas. Incluye tubería subterránea a cajas de aguas lluvias en cancha y patio. Incluir accesorios.</t>
  </si>
  <si>
    <t>3.7.3.16</t>
  </si>
  <si>
    <t>Acera, piso de acceso vehicular y area de espera, concreto e=10 cm, f'c=180 kg/cm2</t>
  </si>
  <si>
    <t>3.7.3.17</t>
  </si>
  <si>
    <t>Construccion e instalacion de puerta de acceso</t>
  </si>
  <si>
    <t>3.7.3.18</t>
  </si>
  <si>
    <t>Suministro e instalacion de letras acrilicas en fachada de acceso.</t>
  </si>
  <si>
    <t>3.7.3.19</t>
  </si>
  <si>
    <t xml:space="preserve">Suministro y aplicación de pintura de agua acrílica lavable de primera calidad, acabado mate, incluye limpieza y preparación de paredes con base. Dos manos acabado uniforme. </t>
  </si>
  <si>
    <t>3.7.3.20</t>
  </si>
  <si>
    <t>Suministro e Instalación de TIMBRE Tipo  Dindon, incluye alambrado y canalizado y pulsador para intemperie a instalarse en portón de entrada principal. Debe quedar en buenas condiciones de funcionamiento.</t>
  </si>
  <si>
    <t>3.7.3.21</t>
  </si>
  <si>
    <t>Suministro e instalacion de placa.</t>
  </si>
  <si>
    <t>3.7.3.22</t>
  </si>
  <si>
    <t>Suministro e instalación de Carro lavamanos de acero inoxidable (lavamanos con llave tipo cuello de ganso) incluye tubo de abasto para conectar al agua potable y desagüe para aguas grises. Debe quedar en buenas condiciones de funcionamiento.</t>
  </si>
  <si>
    <t>PRESUPUESTO DE CONSTRUCION DE UNA SANITARIO PARA  MINUSVALIDOS DE 2.1X2.1M (A=4.4m2)</t>
  </si>
  <si>
    <t>3.6.0</t>
  </si>
  <si>
    <t>Sanitarios para minusvalidos</t>
  </si>
  <si>
    <t>3.6.1.0</t>
  </si>
  <si>
    <t>3.6.1.1</t>
  </si>
  <si>
    <t>3.6.1.2</t>
  </si>
  <si>
    <t>3.6.1.3</t>
  </si>
  <si>
    <t>3.6.1.4</t>
  </si>
  <si>
    <t>3.6.1.5</t>
  </si>
  <si>
    <t>3.6.1.6</t>
  </si>
  <si>
    <t>3.6.2.0</t>
  </si>
  <si>
    <t>3.6.2.1</t>
  </si>
  <si>
    <t>Suministro e instalación de Panel de techo tipo Sándwich, espesor de 20 mm, con Aislante de Poliuretano inyectado de alta densidad de 40Kg/m3 y 90% de celda cerrada, fabricado en línea continua de última generación, con ancho útil de 1.00m.
Lámina superior pre pintada al horno, color blanco con 3 grecas y film de polietileno protector, lámina inferior pre pintada al horno color blanco con microperfilado de 25 mm en huella de rolado.
Machimbrado con junta de neopreno para evitar puente térmico. Incluye Estructura de soporte de techo con polín C y tornillería. Sobre los tornillos autorroscantes se deberá de colocar material bituminoso o un sellador impermeabilizante elastómero acrílico a base de agua, incluye dos manos de pintura anticorrosiva, una mano de pintura de aceite color blanco en estructura de techo, hechura de cepos.</t>
  </si>
  <si>
    <t>3.6.2.2</t>
  </si>
  <si>
    <t>3.6.3.0</t>
  </si>
  <si>
    <t>3.6.3.1</t>
  </si>
  <si>
    <t>3.6.3.2</t>
  </si>
  <si>
    <t>3.6.3.3</t>
  </si>
  <si>
    <t>3.6.3.4</t>
  </si>
  <si>
    <t>3.6.3.5</t>
  </si>
  <si>
    <t>3.6.3.6</t>
  </si>
  <si>
    <t>Suministro y aplicación de pintura de agua acrílica lavable de primera calidad, acabado mate, incluye limpieza y preparación de paredes con base. Dos manos acabado uniforme. H=1.5 m</t>
  </si>
  <si>
    <t>3.6.3.7</t>
  </si>
  <si>
    <t>3.6.4.0</t>
  </si>
  <si>
    <t>3.6.4.1</t>
  </si>
  <si>
    <t>3.6.4.2</t>
  </si>
  <si>
    <t>3.6.5.0</t>
  </si>
  <si>
    <t>3.6.5.1</t>
  </si>
  <si>
    <t>Suministro e instalación de puertas 2,0 x 1.0 m incluye contra marco de ángulo de marcos de tubo estructural cuadrado de 1" chapa 16 y refuerzos de tubo cuadrado de 1", doble forro de lamina negra 1/16", incluye dos manos de pintura anticorrosiva cada una en color diferente (rojo y verde) y dos manos de pintura de aceite de la mejor calidad y chapa. Debe quedar en buenas condiciones de funcionamiento.</t>
  </si>
  <si>
    <t>3.6.6.0</t>
  </si>
  <si>
    <t>3.6.6.1</t>
  </si>
  <si>
    <t>Suministro e instalación de mingitorio ecológico color blanco, incluye accesorios, incluye sello elastomérico impermeable acrílico base agua color blanco. Debe quedar en buenas condiciones de funcionamiento.</t>
  </si>
  <si>
    <t>3.6.6.2</t>
  </si>
  <si>
    <t>Suministro e instalación de lavamanos de pedestal, de un agujero, loza vitrificada, cero absorción a la humedad, incluye grifo y accesorios de instalación. Debe quedar en buenas condiciones de funcionamiento.</t>
  </si>
  <si>
    <t>3.6.6.3</t>
  </si>
  <si>
    <t>3.6.6.4</t>
  </si>
  <si>
    <t>Suministro e instalación de Inodoro infantil, porcelana vitrificada. válvula de control y tubo de abasto flexible. medidas antropométricas para niños de Parvularia. taza: redonda, dimensiones generales: ancho:304 x largo:584 x alto:604 mm tipo de descarga y consumo: single flush 4.8 lpf, capacidad de evacuación: 250gr. Incluye asiento y accesorios. Debe quedar en buenas condiciones de funcionamiento.</t>
  </si>
  <si>
    <t>3.6.7.0</t>
  </si>
  <si>
    <t>3.6.7.1</t>
  </si>
  <si>
    <t>Suministro y Montaje de Interruptor Sencillo 15 A. 120V. Tipo dado, con su placa metálica acero inoxidable, en caja rectangular 4"x2" ho. galv. pesada. Incluye canalización y alambrado. Debe quedar en buenas condiciones de funcionamiento.</t>
  </si>
  <si>
    <t>3.6.7.2</t>
  </si>
  <si>
    <t>Suministro e instalación Luminaria gabinete de 1´x4´ tubos LED 2 X18 Watts, 120V, de empotrar en cielo falso, difusor plástico blanco cuadriculado tipo rejilla, tubo T-8, Tipo luz de día, Incluye alambrado, Canalización, conexión de circuito y Polarización ( Conductor chaqueta aislante verde  Terminal de Ojo). Debe quedar en buenas condiciones de funcionamiento.</t>
  </si>
  <si>
    <t>3.6.7.3</t>
  </si>
  <si>
    <t>3.6.8.0</t>
  </si>
  <si>
    <t>Sistema de distribucion de agua potable</t>
  </si>
  <si>
    <t>3.6.8.1</t>
  </si>
  <si>
    <t xml:space="preserve">Suministro e instalación de Tubería de PVC 3/4"  250 psi, incluye accesorios tales como codos, uniones, tapones, tees, y cualquier otro accesorio de acople o conexión </t>
  </si>
  <si>
    <t>3.6.9.0</t>
  </si>
  <si>
    <t>Sistema de distribucion de aguas negras</t>
  </si>
  <si>
    <t>3.6.9.1</t>
  </si>
  <si>
    <t xml:space="preserve">Tubería de PVC 3"  80 psi,  incluye accesorios para acople y conexiones, excavación, compactación. </t>
  </si>
  <si>
    <t>3.6.9.2</t>
  </si>
  <si>
    <t>Construcción de caja de conexión de aguas negras de 0.50x0.50x0.60 m, (cotas Internas)con base de concreto, pared de ladrillo de barro p/lazo repelladas y afinadas SC 0.15x0.10 2N°3 GN°2 a cada 0.15 mts, tapadera de concreto E=0.10 mts N°3 a cada 0.15 mtsA.S. Fc= 210 Kg/cm².</t>
  </si>
  <si>
    <t>COSTO DIRECTO DE CONSTRUCION  POR M2</t>
  </si>
  <si>
    <t>PRESUPUESTO DE MESA, BANCA Y SOMBRA (U=$1752)</t>
  </si>
  <si>
    <t>PRECIO UNITARIO    INCLUYE DIRECTO, INDIRECTO EVA              (US $)</t>
  </si>
  <si>
    <t>TOTAL POR MODULO (COSTO DIRECTO)</t>
  </si>
  <si>
    <t>Mesa, banca y sombra.</t>
  </si>
  <si>
    <t>TRAZO POR UNIDAD DE ÁREA</t>
  </si>
  <si>
    <t>EXCAVACIÓN A MANO HASTA 1.50 M (MAT.SEMI DURO)</t>
  </si>
  <si>
    <t>RELLENO COMPACTADO SUELO-CEM. 20:1 (C/MAT.SELECTO).</t>
  </si>
  <si>
    <t>ZAPATA 1.0X1.0X0.25 M REF # 4@ 0.10 M A.S.  F'C=210 KG/CM2; INC ENCOFRADO</t>
  </si>
  <si>
    <t xml:space="preserve">U </t>
  </si>
  <si>
    <t>PEDESTAL 0.4X0.4X1.5   8 NO. 5  EST NO. 3 @ 15 CMS.  FC=210 KG/CM2</t>
  </si>
  <si>
    <t>RELLENO COMPACTADO CON MATERIAL SELECTO C/BAILARINA</t>
  </si>
  <si>
    <t>COLUMNA METÁLICA CAÑO HO GO Ø4" CÉDULA 40. INCLUYE DOS MANOS DE ANTICORROSIVO (USAR COLORES DIFERENTES) Y ESMALTE.</t>
  </si>
  <si>
    <t xml:space="preserve">m </t>
  </si>
  <si>
    <t>TAPÓN HEMBRA LISO PVC Ø4"</t>
  </si>
  <si>
    <t>SUMINISTRO Y APLICACIÓN DE 2 MANOS DE PINTURA ANTICORROSIVA DE DOS COLORES DIFERENTES</t>
  </si>
  <si>
    <t>SUMINISTRO Y APLICACIÓN DE 1 MANO DE PINTURA DE ACEITE</t>
  </si>
  <si>
    <t>CELOCIA DE CAÑUELA DE 2''X1'' CH14  (INCLUYE PINTURA)</t>
  </si>
  <si>
    <t>TUBO ESTRUCTURAL 2"X2"X3/16". INCLUYE DOS MANOS DE ANTICORROSIVO (USAR COLORES DIFERENTES) DOS MANOS DE PINTURA.</t>
  </si>
  <si>
    <t>CONCRETO SIMPLE DE F'C=180KG/CM2 (HECHURA Y COLOCACIÓN EN FUNDACIONES)</t>
  </si>
  <si>
    <t>PARED BLOQUE DE 15R.V.#4@60R.H.#2@40</t>
  </si>
  <si>
    <t>BLOQUE SOLERA DE 15X20X40; REF 2#3+G#2@0.10M; F'C=210KG/CM2</t>
  </si>
  <si>
    <t>REPELLO DE SUPERFICIES VERTICALES HASTA E=0.02 M= 1:4</t>
  </si>
  <si>
    <t>AFINADO EN SUPERFICIES VERTICALES MORTERO 1:1</t>
  </si>
  <si>
    <t>LOSA DE CONCRETO REFORZADO NO. 3 @ 5 CMS. E= 5CMS. CONCRETO 210 KG/CM2</t>
  </si>
  <si>
    <t>MOLDEADO PLANO DE LOSAS CON FORMALETAS METÁLICAS; INCLUYE PUNTALES</t>
  </si>
  <si>
    <t>BANCA DE CONCRETO ARMADO EN FORMA DE "L" DE 45X45 CMS. SOBRE PARED DE BLOQUE DE CONCRETO DE 20 CMS.</t>
  </si>
  <si>
    <t>PRESUPUESTO DE REHABILITACIÓN DE SUM (23.51m x 6.6 m)</t>
  </si>
  <si>
    <t>Pilares.Suministro y aplicación de pintura de agua acrílica de primera calidad, acabado mate, incluye limpieza y preparación de paredes con base. Dos manos acabado uniforme desde media altura hasta los mojinetes.</t>
  </si>
  <si>
    <t>COSTO DE REHABILITACION DE MODULO DE SUM INCLYE DIRECTO, INDIRECTO(45%) MAS IVA</t>
  </si>
  <si>
    <t>CONSTRUCCION DE TIENDA ESCOLAR</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</si>
  <si>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</si>
  <si>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</si>
  <si>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4.13.1</t>
  </si>
  <si>
    <t>OBRAS EXTERIORES COMPLEMENTARIAS</t>
  </si>
  <si>
    <t>OBRAS ELECTRICAS COMPLEMENTARIAS</t>
  </si>
  <si>
    <t>COSTOS INDIRECTOS</t>
  </si>
  <si>
    <t>ARANCELES DE CONSTRUCCIÓN 
(PAGO CONTRA PRESENTACION DE RECIBO A NOMBRE MINEDUCYT)</t>
  </si>
  <si>
    <t>IMPREVISTOS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</si>
</sst>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00_-;\-&quot;$&quot;* #,##0.00_-;_-&quot;$&quot;* &quot;-&quot;??_-;_-@_-"/>
    <numFmt numFmtId="165" formatCode="_-* #,##0.00_-;\-* #,##0.00_-;_-* &quot;-&quot;??_-;_-@_-"/>
    <numFmt numFmtId="166" formatCode="_-* #,##0.00\ _€_-;\-* #,##0.00\ _€_-;_-* &quot;-&quot;??\ _€_-;_-@_-"/>
    <numFmt numFmtId="167" formatCode="&quot;$&quot;#,##0.00"/>
    <numFmt numFmtId="168" formatCode="_-[$$-440A]* #,##0.00_-;\-[$$-440A]* #,##0.00_-;_-[$$-440A]* &quot;-&quot;??_-;_-@_-"/>
    <numFmt numFmtId="169" formatCode="_-* #,##0.00\ [$€]_-;\-* #,##0.00\ [$€]_-;_-* \-??\ [$€]_-;_-@_-"/>
    <numFmt numFmtId="170" formatCode="_([$$-440A]* #,##0.00_);_([$$-440A]* \(#,##0.00\);_([$$-440A]* &quot;-&quot;??_);_(@_)"/>
    <numFmt numFmtId="171" formatCode="[$$-409]#,##0.00_ ;\-[$$-409]#,##0.00\ "/>
    <numFmt numFmtId="172" formatCode="[$$-440A]#,##0.00;\-[$$-440A]#,##0.00"/>
    <numFmt numFmtId="173" formatCode="0.0"/>
    <numFmt numFmtId="174" formatCode="_-[$$-409]* #,##0.00_ ;_-[$$-409]* \-#,##0.00\ ;_-[$$-409]* &quot;-&quot;??_ ;_-@_ "/>
    <numFmt numFmtId="175" formatCode="_-&quot;$&quot;* #,##0.0_-;\-&quot;$&quot;* #,##0.0_-;_-&quot;$&quot;* &quot;-&quot;??_-;_-@_-"/>
    <numFmt numFmtId="176" formatCode="_-&quot;$&quot;* #,##0_-;\-&quot;$&quot;* #,##0_-;_-&quot;$&quot;* &quot;-&quot;??_-;_-@_-"/>
    <numFmt numFmtId="177" formatCode="_-[$$-409]* #,##0.0_ ;_-[$$-409]* \-#,##0.0\ ;_-[$$-409]* &quot;-&quot;??_ ;_-@_ "/>
  </numFmts>
  <fonts count="43" x14ac:knownFonts="1">
    <font>
      <sz val="11"/>
      <color theme="1"/>
      <name val="Calibri"/>
      <family val="2"/>
      <scheme val="minor"/>
    </font>
    <font>
      <sz val="11"/>
      <color theme="1"/>
      <name val="Calibri"/>
      <family val="2"/>
      <scheme val="minor"/>
    </font>
    <font>
      <sz val="10"/>
      <color theme="1"/>
      <name val="Swis721 Cn BT"/>
      <family val="2"/>
    </font>
    <font>
      <sz val="10"/>
      <name val="Swis721 Cn BT"/>
      <family val="2"/>
    </font>
    <font>
      <sz val="11"/>
      <name val="Swis721 Cn BT"/>
      <family val="2"/>
    </font>
    <font>
      <b/>
      <sz val="10"/>
      <name val="Swis721 Cn BT"/>
      <family val="2"/>
    </font>
    <font>
      <sz val="10"/>
      <color theme="3" tint="-0.249977111117893"/>
      <name val="Swis721 Cn BT"/>
      <family val="2"/>
    </font>
    <font>
      <b/>
      <sz val="10"/>
      <color theme="1"/>
      <name val="Swis721 Cn BT"/>
      <family val="2"/>
    </font>
    <font>
      <b/>
      <sz val="12"/>
      <name val="Swis721 Cn BT"/>
      <family val="2"/>
    </font>
    <font>
      <sz val="12"/>
      <color theme="1"/>
      <name val="Swis721 Cn BT"/>
      <family val="2"/>
    </font>
    <font>
      <b/>
      <sz val="12"/>
      <color theme="1"/>
      <name val="Swis721 Cn BT"/>
      <family val="2"/>
    </font>
    <font>
      <b/>
      <sz val="20"/>
      <color rgb="FF072C62"/>
      <name val="Swis721 Cn BT"/>
      <family val="2"/>
    </font>
    <font>
      <b/>
      <sz val="16"/>
      <color rgb="FF072C62"/>
      <name val="Swis721 Cn BT"/>
      <family val="2"/>
    </font>
    <font>
      <b/>
      <sz val="12"/>
      <color rgb="FF072C62"/>
      <name val="Swis721 Cn BT"/>
      <family val="2"/>
    </font>
    <font>
      <sz val="11"/>
      <color rgb="FF000000"/>
      <name val="Swis721 Cn BT"/>
      <family val="2"/>
    </font>
    <font>
      <b/>
      <sz val="11"/>
      <color rgb="FF072C62"/>
      <name val="Swis721 Cn BT"/>
      <family val="2"/>
    </font>
    <font>
      <b/>
      <sz val="11"/>
      <color theme="1"/>
      <name val="Swis721 Cn BT"/>
      <family val="2"/>
    </font>
    <font>
      <sz val="11"/>
      <color theme="1"/>
      <name val="Swis721 Cn BT"/>
      <family val="2"/>
    </font>
    <font>
      <sz val="11"/>
      <color theme="3" tint="-0.249977111117893"/>
      <name val="Swis721 Cn BT"/>
      <family val="2"/>
    </font>
    <font>
      <sz val="10"/>
      <color rgb="FF000000"/>
      <name val="Swis721 Cn BT"/>
      <family val="2"/>
    </font>
    <font>
      <sz val="11"/>
      <name val="Calibri"/>
      <family val="2"/>
      <scheme val="minor"/>
    </font>
    <font>
      <sz val="11"/>
      <name val="Calibri"/>
      <family val="2"/>
    </font>
    <font>
      <sz val="10"/>
      <name val="Arial"/>
      <family val="2"/>
    </font>
    <font>
      <sz val="10"/>
      <name val="Century Gothic"/>
      <family val="2"/>
    </font>
    <font>
      <sz val="11"/>
      <color rgb="FF072C62"/>
      <name val="Swis721 Cn BT"/>
      <family val="2"/>
    </font>
    <font>
      <b/>
      <sz val="10"/>
      <color theme="1"/>
      <name val="Calibri"/>
      <family val="2"/>
      <scheme val="minor"/>
    </font>
    <font>
      <b/>
      <sz val="11"/>
      <name val="Swis721 Cn BT"/>
      <family val="2"/>
    </font>
    <font>
      <b/>
      <sz val="12"/>
      <color theme="1"/>
      <name val="Calibri"/>
      <family val="2"/>
      <scheme val="minor"/>
    </font>
    <font>
      <sz val="8"/>
      <color theme="1"/>
      <name val="Swis721 Cn BT"/>
      <family val="2"/>
    </font>
    <font>
      <sz val="8"/>
      <color theme="3" tint="-0.249977111117893"/>
      <name val="Swis721 Cn BT"/>
      <family val="2"/>
    </font>
    <font>
      <sz val="10"/>
      <color theme="1"/>
      <name val="Arial"/>
      <family val="2"/>
    </font>
    <font>
      <b/>
      <sz val="10"/>
      <name val="Arial"/>
      <family val="2"/>
    </font>
    <font>
      <sz val="12"/>
      <color theme="1"/>
      <name val="Arial"/>
      <family val="2"/>
    </font>
    <font>
      <sz val="10"/>
      <color theme="3" tint="-0.249977111117893"/>
      <name val="Arial"/>
      <family val="2"/>
    </font>
    <font>
      <b/>
      <sz val="10"/>
      <color theme="1"/>
      <name val="Arial"/>
      <family val="2"/>
    </font>
    <font>
      <b/>
      <sz val="12"/>
      <color theme="1"/>
      <name val="Arial"/>
      <family val="2"/>
    </font>
    <font>
      <sz val="9"/>
      <name val="Arial"/>
      <family val="2"/>
    </font>
    <font>
      <sz val="9"/>
      <color theme="1"/>
      <name val="Arial"/>
      <family val="2"/>
    </font>
    <font>
      <b/>
      <sz val="16"/>
      <color theme="0"/>
      <name val="Arial"/>
      <family val="2"/>
    </font>
    <font>
      <sz val="10"/>
      <color rgb="FF000000"/>
      <name val="Arial"/>
      <family val="2"/>
    </font>
    <font>
      <sz val="8"/>
      <color theme="1"/>
      <name val="Arial"/>
      <family val="2"/>
    </font>
    <font>
      <b/>
      <sz val="10"/>
      <color theme="3" tint="-0.249977111117893"/>
      <name val="Swis721 Cn BT"/>
      <family val="2"/>
    </font>
    <font>
      <b/>
      <sz val="10"/>
      <color theme="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D9D9D9"/>
        <bgColor indexed="64"/>
      </patternFill>
    </fill>
    <fill>
      <patternFill patternType="solid">
        <fgColor theme="4" tint="0.59999389629810485"/>
        <bgColor indexed="64"/>
      </patternFill>
    </fill>
    <fill>
      <patternFill patternType="solid">
        <fgColor rgb="FFDDEBF7"/>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style="medium">
        <color auto="1"/>
      </right>
      <top/>
      <bottom style="medium">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164" fontId="1" fillId="0" borderId="0" applyFont="0" applyFill="0" applyBorder="0" applyAlignment="0" applyProtection="0"/>
    <xf numFmtId="0" fontId="1" fillId="0" borderId="0"/>
    <xf numFmtId="166" fontId="1" fillId="0" borderId="0" applyFont="0" applyFill="0" applyBorder="0" applyAlignment="0" applyProtection="0"/>
    <xf numFmtId="169" fontId="22" fillId="0" borderId="0" applyFill="0" applyBorder="0" applyAlignment="0" applyProtection="0"/>
    <xf numFmtId="0" fontId="22" fillId="0" borderId="0"/>
    <xf numFmtId="0" fontId="1" fillId="0" borderId="0"/>
    <xf numFmtId="9" fontId="1"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9" fontId="22" fillId="0" borderId="0" applyFont="0" applyFill="0" applyBorder="0" applyAlignment="0" applyProtection="0"/>
  </cellStyleXfs>
  <cellXfs count="243">
    <xf numFmtId="0" fontId="0" fillId="0" borderId="0" xfId="0"/>
    <xf numFmtId="0" fontId="6" fillId="0" borderId="1" xfId="0" applyFont="1" applyBorder="1" applyAlignment="1">
      <alignment horizontal="justify" vertical="center" wrapText="1"/>
    </xf>
    <xf numFmtId="0" fontId="9" fillId="0" borderId="0" xfId="0" applyFont="1"/>
    <xf numFmtId="0" fontId="10" fillId="0" borderId="0" xfId="0" applyFont="1"/>
    <xf numFmtId="0" fontId="8" fillId="4" borderId="2" xfId="0"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164" fontId="3" fillId="3" borderId="2" xfId="1" applyFont="1" applyFill="1" applyBorder="1" applyAlignment="1">
      <alignment horizontal="center" vertical="center" wrapText="1"/>
    </xf>
    <xf numFmtId="0" fontId="6" fillId="0" borderId="2" xfId="0" applyFont="1" applyBorder="1" applyAlignment="1">
      <alignment horizontal="justify" vertical="center" wrapText="1"/>
    </xf>
    <xf numFmtId="164" fontId="6" fillId="0" borderId="2" xfId="1" applyFont="1" applyFill="1" applyBorder="1" applyAlignment="1">
      <alignment horizontal="center" vertical="center"/>
    </xf>
    <xf numFmtId="2" fontId="7" fillId="0" borderId="2" xfId="0" applyNumberFormat="1" applyFont="1" applyBorder="1" applyAlignment="1">
      <alignment horizontal="center" vertical="center"/>
    </xf>
    <xf numFmtId="2" fontId="2" fillId="0" borderId="2" xfId="0" applyNumberFormat="1" applyFont="1" applyBorder="1" applyAlignment="1">
      <alignment horizontal="center" vertical="center"/>
    </xf>
    <xf numFmtId="0" fontId="2" fillId="0" borderId="2" xfId="0" applyFont="1" applyBorder="1" applyAlignment="1">
      <alignment horizontal="center" vertical="center"/>
    </xf>
    <xf numFmtId="164" fontId="2" fillId="0" borderId="2" xfId="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2" fontId="7" fillId="3" borderId="2" xfId="0" applyNumberFormat="1" applyFont="1" applyFill="1" applyBorder="1" applyAlignment="1">
      <alignment horizontal="center" vertical="center"/>
    </xf>
    <xf numFmtId="0" fontId="6" fillId="0" borderId="2" xfId="0" applyFont="1" applyBorder="1" applyAlignment="1">
      <alignment horizontal="justify" vertical="top" wrapText="1"/>
    </xf>
    <xf numFmtId="166" fontId="2" fillId="0" borderId="2" xfId="0" applyNumberFormat="1" applyFont="1" applyBorder="1" applyAlignment="1">
      <alignment horizontal="center" vertical="center"/>
    </xf>
    <xf numFmtId="0" fontId="6" fillId="3" borderId="2" xfId="0" applyFont="1" applyFill="1" applyBorder="1" applyAlignment="1">
      <alignment horizontal="justify" vertical="center" wrapText="1"/>
    </xf>
    <xf numFmtId="164" fontId="13" fillId="0" borderId="2" xfId="1" applyFont="1" applyBorder="1" applyAlignment="1">
      <alignment horizontal="center" vertical="center" wrapText="1"/>
    </xf>
    <xf numFmtId="0" fontId="14" fillId="6" borderId="2" xfId="0" applyFont="1" applyFill="1" applyBorder="1" applyAlignment="1">
      <alignment horizontal="center" vertical="center" wrapText="1"/>
    </xf>
    <xf numFmtId="164" fontId="15" fillId="7" borderId="2" xfId="1" applyFont="1" applyFill="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164" fontId="14" fillId="0" borderId="2" xfId="1" applyFont="1" applyFill="1" applyBorder="1" applyAlignment="1">
      <alignment horizontal="center" vertical="center"/>
    </xf>
    <xf numFmtId="166" fontId="14" fillId="0" borderId="2" xfId="3" applyFont="1" applyFill="1" applyBorder="1" applyAlignment="1">
      <alignment horizontal="center" vertical="center"/>
    </xf>
    <xf numFmtId="164" fontId="14" fillId="0" borderId="2" xfId="1" applyFont="1" applyBorder="1" applyAlignment="1">
      <alignment horizontal="center" vertical="center"/>
    </xf>
    <xf numFmtId="0" fontId="14" fillId="0" borderId="2" xfId="0" applyFont="1" applyBorder="1" applyAlignment="1">
      <alignment horizontal="justify" vertical="center"/>
    </xf>
    <xf numFmtId="0" fontId="14" fillId="8" borderId="2" xfId="0" applyFont="1" applyFill="1" applyBorder="1" applyAlignment="1">
      <alignment horizontal="center" vertical="center" wrapText="1"/>
    </xf>
    <xf numFmtId="166" fontId="4" fillId="0" borderId="2" xfId="3" applyFont="1" applyFill="1" applyBorder="1" applyAlignment="1">
      <alignment horizontal="center" vertical="center"/>
    </xf>
    <xf numFmtId="166" fontId="14" fillId="0" borderId="2" xfId="3" applyFont="1" applyBorder="1" applyAlignment="1">
      <alignment horizontal="center" vertical="center"/>
    </xf>
    <xf numFmtId="0" fontId="16" fillId="0" borderId="2" xfId="0" applyFont="1" applyBorder="1" applyAlignment="1">
      <alignment horizontal="right" vertical="center"/>
    </xf>
    <xf numFmtId="0" fontId="17" fillId="0" borderId="2" xfId="0" applyFont="1" applyBorder="1" applyAlignment="1">
      <alignment horizontal="center" vertical="center"/>
    </xf>
    <xf numFmtId="164" fontId="16" fillId="0" borderId="2" xfId="1" applyFont="1" applyBorder="1" applyAlignment="1">
      <alignment horizontal="center" vertical="center"/>
    </xf>
    <xf numFmtId="164" fontId="15" fillId="3" borderId="2" xfId="1" applyFont="1" applyFill="1" applyBorder="1" applyAlignment="1">
      <alignment horizontal="center" vertical="center"/>
    </xf>
    <xf numFmtId="0" fontId="17" fillId="0" borderId="2" xfId="0" applyFont="1" applyBorder="1" applyAlignment="1">
      <alignment vertical="center"/>
    </xf>
    <xf numFmtId="164" fontId="17" fillId="0" borderId="2" xfId="1" applyFont="1" applyBorder="1" applyAlignment="1">
      <alignment vertical="center"/>
    </xf>
    <xf numFmtId="0" fontId="0" fillId="0" borderId="2" xfId="0" applyBorder="1"/>
    <xf numFmtId="0" fontId="18" fillId="0" borderId="1" xfId="0" applyFont="1" applyBorder="1" applyAlignment="1">
      <alignment horizontal="justify" vertical="center" wrapText="1"/>
    </xf>
    <xf numFmtId="164" fontId="17" fillId="0" borderId="2" xfId="1" applyFont="1" applyBorder="1" applyAlignment="1">
      <alignment horizontal="center" vertical="center"/>
    </xf>
    <xf numFmtId="2" fontId="17" fillId="0" borderId="2" xfId="1" applyNumberFormat="1" applyFont="1" applyBorder="1" applyAlignment="1">
      <alignment horizontal="center" vertical="center"/>
    </xf>
    <xf numFmtId="2" fontId="2" fillId="0" borderId="2" xfId="1" applyNumberFormat="1" applyFont="1" applyBorder="1" applyAlignment="1">
      <alignment horizontal="center" vertical="center"/>
    </xf>
    <xf numFmtId="0" fontId="0" fillId="0" borderId="2" xfId="0" applyBorder="1" applyAlignment="1">
      <alignment horizontal="center" vertical="center"/>
    </xf>
    <xf numFmtId="2" fontId="6" fillId="0" borderId="2" xfId="1" applyNumberFormat="1" applyFont="1" applyFill="1" applyBorder="1" applyAlignment="1">
      <alignment horizontal="center" vertical="center"/>
    </xf>
    <xf numFmtId="164" fontId="18" fillId="0" borderId="5" xfId="1" applyFont="1" applyFill="1" applyBorder="1" applyAlignment="1">
      <alignment horizontal="center" vertical="center"/>
    </xf>
    <xf numFmtId="164" fontId="18" fillId="0" borderId="3" xfId="1" applyFont="1" applyFill="1" applyBorder="1" applyAlignment="1">
      <alignment horizontal="center" vertical="center"/>
    </xf>
    <xf numFmtId="0" fontId="19" fillId="0" borderId="2" xfId="0" applyFont="1" applyBorder="1" applyAlignment="1">
      <alignment horizontal="justify" vertical="center"/>
    </xf>
    <xf numFmtId="0" fontId="6" fillId="0" borderId="2" xfId="0" applyFont="1" applyBorder="1" applyAlignment="1">
      <alignment horizontal="left" vertical="center" wrapText="1"/>
    </xf>
    <xf numFmtId="170" fontId="23" fillId="0" borderId="6" xfId="4" applyNumberFormat="1" applyFont="1" applyFill="1" applyBorder="1" applyAlignment="1">
      <alignment horizontal="center" vertical="center"/>
    </xf>
    <xf numFmtId="170" fontId="0" fillId="0" borderId="0" xfId="0" applyNumberFormat="1"/>
    <xf numFmtId="168" fontId="0" fillId="0" borderId="0" xfId="0" applyNumberFormat="1"/>
    <xf numFmtId="0" fontId="20" fillId="0" borderId="2" xfId="0" applyFont="1" applyBorder="1" applyAlignment="1">
      <alignment vertical="center" wrapText="1"/>
    </xf>
    <xf numFmtId="0" fontId="21" fillId="0" borderId="2" xfId="0" applyFont="1" applyBorder="1" applyAlignment="1">
      <alignment horizontal="center" vertical="center"/>
    </xf>
    <xf numFmtId="168" fontId="20" fillId="0" borderId="2" xfId="0" applyNumberFormat="1" applyFont="1" applyBorder="1" applyAlignment="1">
      <alignment horizontal="center" vertical="center"/>
    </xf>
    <xf numFmtId="0" fontId="20" fillId="0" borderId="2" xfId="0" applyFont="1" applyBorder="1" applyAlignment="1">
      <alignment horizontal="center" vertical="center"/>
    </xf>
    <xf numFmtId="0" fontId="0" fillId="0" borderId="2" xfId="0" applyBorder="1" applyAlignment="1">
      <alignment horizontal="center"/>
    </xf>
    <xf numFmtId="168" fontId="0" fillId="0" borderId="2" xfId="0" applyNumberFormat="1" applyBorder="1" applyAlignment="1">
      <alignment horizontal="center"/>
    </xf>
    <xf numFmtId="0" fontId="14" fillId="3" borderId="2" xfId="0" applyFont="1" applyFill="1" applyBorder="1" applyAlignment="1">
      <alignment horizontal="center" vertical="center" wrapText="1"/>
    </xf>
    <xf numFmtId="0" fontId="19" fillId="0" borderId="0" xfId="0" applyFont="1" applyAlignment="1">
      <alignment horizontal="center" wrapText="1"/>
    </xf>
    <xf numFmtId="0" fontId="24" fillId="3" borderId="2" xfId="0" applyFont="1" applyFill="1" applyBorder="1" applyAlignment="1">
      <alignment horizontal="center" vertical="center"/>
    </xf>
    <xf numFmtId="164" fontId="24" fillId="3" borderId="2" xfId="1" applyFont="1" applyFill="1" applyBorder="1" applyAlignment="1">
      <alignment horizontal="center" vertical="center"/>
    </xf>
    <xf numFmtId="166" fontId="24" fillId="3" borderId="2" xfId="0" applyNumberFormat="1" applyFont="1" applyFill="1" applyBorder="1" applyAlignment="1">
      <alignment horizontal="center" vertical="center"/>
    </xf>
    <xf numFmtId="2" fontId="8"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xf>
    <xf numFmtId="0" fontId="19" fillId="0" borderId="2" xfId="0" applyFont="1" applyBorder="1" applyAlignment="1">
      <alignment horizontal="justify" vertical="center" wrapText="1"/>
    </xf>
    <xf numFmtId="164" fontId="18" fillId="0" borderId="2" xfId="1" applyFont="1" applyFill="1" applyBorder="1" applyAlignment="1">
      <alignment horizontal="center" vertical="center"/>
    </xf>
    <xf numFmtId="0" fontId="3" fillId="0" borderId="2" xfId="0" applyFont="1" applyBorder="1" applyAlignment="1">
      <alignment horizontal="justify" vertical="center" wrapText="1"/>
    </xf>
    <xf numFmtId="0" fontId="4" fillId="0" borderId="2" xfId="0" applyFont="1" applyBorder="1" applyAlignment="1">
      <alignment horizontal="center" vertical="center" wrapText="1"/>
    </xf>
    <xf numFmtId="167" fontId="4" fillId="0" borderId="2" xfId="1" applyNumberFormat="1" applyFont="1" applyFill="1" applyBorder="1" applyAlignment="1">
      <alignment horizontal="center" vertical="center" wrapText="1"/>
    </xf>
    <xf numFmtId="2" fontId="3" fillId="0" borderId="2" xfId="0" applyNumberFormat="1" applyFont="1" applyBorder="1" applyAlignment="1">
      <alignment horizontal="left" vertical="center" wrapText="1"/>
    </xf>
    <xf numFmtId="2" fontId="4" fillId="0" borderId="2" xfId="0" applyNumberFormat="1" applyFont="1" applyBorder="1" applyAlignment="1">
      <alignment horizontal="center" vertical="center" wrapText="1"/>
    </xf>
    <xf numFmtId="164" fontId="5" fillId="3" borderId="2" xfId="1" applyFont="1" applyFill="1" applyBorder="1" applyAlignment="1">
      <alignment horizontal="center" vertical="center" wrapText="1"/>
    </xf>
    <xf numFmtId="164" fontId="7" fillId="3" borderId="2" xfId="1" applyFont="1" applyFill="1" applyBorder="1" applyAlignment="1">
      <alignment horizontal="center" vertical="center"/>
    </xf>
    <xf numFmtId="164" fontId="7" fillId="3" borderId="2" xfId="0" applyNumberFormat="1" applyFont="1" applyFill="1" applyBorder="1" applyAlignment="1">
      <alignment vertical="center"/>
    </xf>
    <xf numFmtId="164" fontId="25" fillId="3" borderId="2" xfId="0" applyNumberFormat="1" applyFont="1" applyFill="1" applyBorder="1"/>
    <xf numFmtId="164" fontId="25" fillId="3" borderId="2" xfId="1" applyFont="1" applyFill="1" applyBorder="1"/>
    <xf numFmtId="164" fontId="27" fillId="5" borderId="2" xfId="1" applyFont="1" applyFill="1" applyBorder="1"/>
    <xf numFmtId="164" fontId="28" fillId="0" borderId="2" xfId="1" applyFont="1" applyBorder="1" applyAlignment="1">
      <alignment horizontal="center" vertical="center"/>
    </xf>
    <xf numFmtId="164" fontId="29" fillId="0" borderId="5" xfId="1" applyFont="1" applyFill="1" applyBorder="1" applyAlignment="1">
      <alignment horizontal="center" vertical="center"/>
    </xf>
    <xf numFmtId="0" fontId="0" fillId="0" borderId="7" xfId="0" applyBorder="1"/>
    <xf numFmtId="0" fontId="6" fillId="0" borderId="7" xfId="0" applyFont="1" applyBorder="1" applyAlignment="1">
      <alignment horizontal="justify" vertical="center" wrapText="1"/>
    </xf>
    <xf numFmtId="0" fontId="2" fillId="0" borderId="7" xfId="0" applyFont="1" applyBorder="1" applyAlignment="1">
      <alignment horizontal="center" vertical="center"/>
    </xf>
    <xf numFmtId="2" fontId="6" fillId="0" borderId="7" xfId="1" applyNumberFormat="1" applyFont="1" applyFill="1" applyBorder="1" applyAlignment="1">
      <alignment horizontal="center" vertical="center"/>
    </xf>
    <xf numFmtId="164" fontId="6" fillId="0" borderId="7" xfId="1" applyFont="1" applyFill="1" applyBorder="1" applyAlignment="1">
      <alignment horizontal="center" vertical="center"/>
    </xf>
    <xf numFmtId="164" fontId="2" fillId="0" borderId="7" xfId="1" applyFont="1" applyBorder="1" applyAlignment="1">
      <alignment horizontal="center" vertical="center"/>
    </xf>
    <xf numFmtId="0" fontId="14" fillId="6" borderId="4" xfId="0" applyFont="1" applyFill="1" applyBorder="1" applyAlignment="1">
      <alignment horizontal="center" vertical="center" wrapText="1"/>
    </xf>
    <xf numFmtId="164" fontId="15" fillId="7" borderId="4" xfId="1"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xf>
    <xf numFmtId="164" fontId="0" fillId="0" borderId="1" xfId="1" applyFont="1" applyBorder="1" applyAlignment="1">
      <alignment horizontal="center" vertical="center"/>
    </xf>
    <xf numFmtId="164" fontId="0" fillId="5" borderId="1" xfId="1" applyFont="1" applyFill="1" applyBorder="1"/>
    <xf numFmtId="0" fontId="0" fillId="0" borderId="0" xfId="0" applyAlignment="1">
      <alignment horizontal="center" vertical="center"/>
    </xf>
    <xf numFmtId="164" fontId="28" fillId="0" borderId="8" xfId="1" applyFont="1" applyBorder="1" applyAlignment="1">
      <alignment horizontal="center" vertical="center"/>
    </xf>
    <xf numFmtId="164" fontId="2" fillId="0" borderId="8" xfId="1" applyFont="1" applyBorder="1" applyAlignment="1">
      <alignment horizontal="center" vertical="center"/>
    </xf>
    <xf numFmtId="164" fontId="13" fillId="0" borderId="8" xfId="1" applyFont="1" applyBorder="1" applyAlignment="1">
      <alignment horizontal="center" vertical="center" wrapText="1"/>
    </xf>
    <xf numFmtId="166" fontId="0" fillId="0" borderId="2" xfId="0" applyNumberFormat="1" applyBorder="1" applyAlignment="1">
      <alignment horizontal="center" vertical="center"/>
    </xf>
    <xf numFmtId="172" fontId="8" fillId="3" borderId="2" xfId="0" applyNumberFormat="1" applyFont="1" applyFill="1" applyBorder="1" applyAlignment="1">
      <alignment vertical="center" wrapText="1"/>
    </xf>
    <xf numFmtId="2" fontId="10"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164" fontId="7" fillId="0" borderId="2" xfId="0" applyNumberFormat="1" applyFont="1" applyBorder="1" applyAlignment="1">
      <alignment vertical="center"/>
    </xf>
    <xf numFmtId="0" fontId="4" fillId="0" borderId="1" xfId="5" applyFont="1" applyBorder="1" applyAlignment="1">
      <alignment horizontal="justify" vertical="top" wrapText="1"/>
    </xf>
    <xf numFmtId="0" fontId="2" fillId="0" borderId="0" xfId="0" applyFont="1" applyAlignment="1">
      <alignment horizontal="left" vertical="center" wrapText="1"/>
    </xf>
    <xf numFmtId="2" fontId="2" fillId="0" borderId="7" xfId="0" applyNumberFormat="1" applyFont="1" applyBorder="1" applyAlignment="1">
      <alignment horizontal="center" vertical="center"/>
    </xf>
    <xf numFmtId="0" fontId="2" fillId="0" borderId="7" xfId="0" applyFont="1" applyBorder="1" applyAlignment="1">
      <alignment horizontal="left" vertical="center" wrapText="1"/>
    </xf>
    <xf numFmtId="172" fontId="0" fillId="5" borderId="1" xfId="0" applyNumberFormat="1" applyFill="1" applyBorder="1" applyAlignment="1">
      <alignment vertical="center"/>
    </xf>
    <xf numFmtId="172" fontId="0" fillId="0" borderId="1" xfId="0" applyNumberFormat="1" applyBorder="1"/>
    <xf numFmtId="164" fontId="0" fillId="5" borderId="1" xfId="1" applyFont="1" applyFill="1" applyBorder="1" applyAlignment="1">
      <alignment vertical="center"/>
    </xf>
    <xf numFmtId="174" fontId="0" fillId="5" borderId="1" xfId="0" applyNumberFormat="1" applyFill="1" applyBorder="1"/>
    <xf numFmtId="0" fontId="30" fillId="0" borderId="0" xfId="0" applyFont="1"/>
    <xf numFmtId="0" fontId="32" fillId="0" borderId="0" xfId="0" applyFont="1"/>
    <xf numFmtId="2" fontId="22" fillId="3" borderId="2" xfId="0" applyNumberFormat="1" applyFont="1" applyFill="1" applyBorder="1" applyAlignment="1">
      <alignment horizontal="center" vertical="center" wrapText="1"/>
    </xf>
    <xf numFmtId="0" fontId="33" fillId="0" borderId="2" xfId="0" applyFont="1" applyBorder="1" applyAlignment="1">
      <alignment horizontal="justify" vertical="center" wrapText="1"/>
    </xf>
    <xf numFmtId="164" fontId="33" fillId="0" borderId="2" xfId="1" applyFont="1" applyFill="1" applyBorder="1" applyAlignment="1">
      <alignment horizontal="center" vertical="center"/>
    </xf>
    <xf numFmtId="166" fontId="30" fillId="0" borderId="0" xfId="0" applyNumberFormat="1" applyFont="1"/>
    <xf numFmtId="0" fontId="34" fillId="0" borderId="0" xfId="0" applyFont="1"/>
    <xf numFmtId="0" fontId="30" fillId="0" borderId="2" xfId="0" applyFont="1" applyBorder="1" applyAlignment="1">
      <alignment horizontal="center" vertical="center"/>
    </xf>
    <xf numFmtId="164" fontId="30" fillId="0" borderId="2" xfId="1" applyFont="1" applyBorder="1" applyAlignment="1">
      <alignment horizontal="center" vertical="center"/>
    </xf>
    <xf numFmtId="0" fontId="30" fillId="0" borderId="2" xfId="0" applyFont="1" applyBorder="1" applyAlignment="1">
      <alignment horizontal="left" vertical="center"/>
    </xf>
    <xf numFmtId="0" fontId="33" fillId="0" borderId="2" xfId="0" applyFont="1" applyBorder="1" applyAlignment="1">
      <alignment horizontal="center" vertical="center" wrapText="1"/>
    </xf>
    <xf numFmtId="0" fontId="30" fillId="0" borderId="2" xfId="0" applyFont="1" applyBorder="1" applyAlignment="1">
      <alignment vertical="center" wrapText="1"/>
    </xf>
    <xf numFmtId="0" fontId="35" fillId="0" borderId="0" xfId="0" applyFont="1"/>
    <xf numFmtId="0" fontId="30" fillId="3" borderId="0" xfId="0" applyFont="1" applyFill="1"/>
    <xf numFmtId="2" fontId="30" fillId="0" borderId="0" xfId="0" applyNumberFormat="1"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175" fontId="30" fillId="0" borderId="2" xfId="1" applyNumberFormat="1" applyFont="1" applyBorder="1" applyAlignment="1">
      <alignment horizontal="center" vertical="center"/>
    </xf>
    <xf numFmtId="0" fontId="6" fillId="0" borderId="1" xfId="0" applyFont="1" applyBorder="1" applyAlignment="1">
      <alignment horizontal="center" vertical="center" wrapText="1"/>
    </xf>
    <xf numFmtId="166" fontId="0" fillId="0" borderId="0" xfId="0" applyNumberFormat="1"/>
    <xf numFmtId="173" fontId="26" fillId="3" borderId="2" xfId="0" applyNumberFormat="1" applyFont="1" applyFill="1" applyBorder="1" applyAlignment="1">
      <alignment horizontal="center" vertical="center" wrapText="1"/>
    </xf>
    <xf numFmtId="0" fontId="22" fillId="0" borderId="1" xfId="0" applyFont="1" applyBorder="1" applyAlignment="1">
      <alignment horizontal="left" vertical="center" wrapText="1"/>
    </xf>
    <xf numFmtId="173" fontId="31" fillId="3" borderId="1" xfId="0" applyNumberFormat="1" applyFont="1" applyFill="1" applyBorder="1" applyAlignment="1">
      <alignment vertical="center" wrapText="1"/>
    </xf>
    <xf numFmtId="0" fontId="31" fillId="4" borderId="1" xfId="0" applyFont="1" applyFill="1" applyBorder="1" applyAlignment="1">
      <alignment horizontal="center" vertical="center" wrapText="1"/>
    </xf>
    <xf numFmtId="2" fontId="31" fillId="4" borderId="1" xfId="0" applyNumberFormat="1" applyFont="1" applyFill="1" applyBorder="1" applyAlignment="1">
      <alignment horizontal="center" vertical="center" wrapText="1"/>
    </xf>
    <xf numFmtId="173" fontId="42" fillId="2" borderId="1" xfId="0" applyNumberFormat="1" applyFont="1" applyFill="1" applyBorder="1" applyAlignment="1">
      <alignment horizontal="center" vertical="center" wrapText="1"/>
    </xf>
    <xf numFmtId="173" fontId="22" fillId="9" borderId="1" xfId="0" applyNumberFormat="1" applyFont="1" applyFill="1" applyBorder="1" applyAlignment="1">
      <alignment horizontal="center" vertical="center" wrapText="1"/>
    </xf>
    <xf numFmtId="173" fontId="22"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164" fontId="22" fillId="3" borderId="1" xfId="1" applyFont="1" applyFill="1" applyBorder="1" applyAlignment="1">
      <alignment horizontal="center" vertical="center" wrapText="1"/>
    </xf>
    <xf numFmtId="175" fontId="22" fillId="3" borderId="1" xfId="1" applyNumberFormat="1" applyFont="1" applyFill="1" applyBorder="1" applyAlignment="1">
      <alignment horizontal="center" vertical="center" wrapText="1"/>
    </xf>
    <xf numFmtId="164" fontId="33" fillId="0" borderId="1" xfId="1" applyFont="1" applyFill="1" applyBorder="1" applyAlignment="1">
      <alignment horizontal="center" vertical="center"/>
    </xf>
    <xf numFmtId="2" fontId="30" fillId="9" borderId="1" xfId="0" applyNumberFormat="1" applyFont="1" applyFill="1" applyBorder="1" applyAlignment="1">
      <alignment horizontal="center" vertical="center"/>
    </xf>
    <xf numFmtId="2"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164" fontId="30" fillId="0" borderId="1" xfId="1" applyFont="1" applyBorder="1" applyAlignment="1">
      <alignment horizontal="center" vertical="center"/>
    </xf>
    <xf numFmtId="175" fontId="37" fillId="0" borderId="1" xfId="1" applyNumberFormat="1" applyFont="1" applyBorder="1" applyAlignment="1">
      <alignment horizontal="center" vertical="center"/>
    </xf>
    <xf numFmtId="176" fontId="30" fillId="0" borderId="1" xfId="1" applyNumberFormat="1" applyFont="1" applyBorder="1" applyAlignment="1">
      <alignment horizontal="center" vertical="center"/>
    </xf>
    <xf numFmtId="173" fontId="30" fillId="0" borderId="1" xfId="0" applyNumberFormat="1" applyFont="1" applyBorder="1" applyAlignment="1">
      <alignment horizontal="center" vertical="center"/>
    </xf>
    <xf numFmtId="0" fontId="30" fillId="0" borderId="1" xfId="0" applyFont="1" applyBorder="1" applyAlignment="1">
      <alignment horizontal="left" vertical="center" wrapText="1"/>
    </xf>
    <xf numFmtId="174" fontId="22" fillId="3" borderId="1" xfId="0" applyNumberFormat="1" applyFont="1" applyFill="1" applyBorder="1" applyAlignment="1">
      <alignment horizontal="center" vertical="center" wrapText="1"/>
    </xf>
    <xf numFmtId="177" fontId="36" fillId="3" borderId="1" xfId="0" applyNumberFormat="1" applyFont="1" applyFill="1" applyBorder="1" applyAlignment="1">
      <alignment horizontal="center" vertical="center" wrapText="1"/>
    </xf>
    <xf numFmtId="172" fontId="22" fillId="3" borderId="1" xfId="0" applyNumberFormat="1" applyFont="1" applyFill="1" applyBorder="1" applyAlignment="1">
      <alignment horizontal="center" vertical="center" wrapText="1"/>
    </xf>
    <xf numFmtId="0" fontId="22" fillId="3" borderId="1" xfId="0" applyFont="1" applyFill="1" applyBorder="1" applyAlignment="1">
      <alignment vertical="center" wrapText="1"/>
    </xf>
    <xf numFmtId="164" fontId="22" fillId="3" borderId="1" xfId="0" applyNumberFormat="1" applyFont="1" applyFill="1" applyBorder="1" applyAlignment="1">
      <alignment horizontal="center" vertical="center" wrapText="1"/>
    </xf>
    <xf numFmtId="177" fontId="22" fillId="3" borderId="1" xfId="0" applyNumberFormat="1" applyFont="1" applyFill="1" applyBorder="1" applyAlignment="1">
      <alignment horizontal="center" vertical="center" wrapText="1"/>
    </xf>
    <xf numFmtId="0" fontId="30" fillId="0" borderId="1" xfId="0" applyFont="1" applyBorder="1" applyAlignment="1">
      <alignment vertical="center" wrapText="1"/>
    </xf>
    <xf numFmtId="174" fontId="30" fillId="0" borderId="1" xfId="0" applyNumberFormat="1" applyFont="1" applyBorder="1" applyAlignment="1">
      <alignment horizontal="center" vertical="center"/>
    </xf>
    <xf numFmtId="177" fontId="37" fillId="0" borderId="1" xfId="0" applyNumberFormat="1" applyFont="1" applyBorder="1" applyAlignment="1">
      <alignment horizontal="center" vertical="center"/>
    </xf>
    <xf numFmtId="0" fontId="30" fillId="3" borderId="1" xfId="0" applyFont="1" applyFill="1" applyBorder="1" applyAlignment="1">
      <alignment vertical="center" wrapText="1"/>
    </xf>
    <xf numFmtId="0" fontId="30" fillId="3" borderId="1" xfId="0" applyFont="1" applyFill="1" applyBorder="1" applyAlignment="1">
      <alignment horizontal="center" vertical="center"/>
    </xf>
    <xf numFmtId="174" fontId="30" fillId="3" borderId="1" xfId="0" applyNumberFormat="1" applyFont="1" applyFill="1" applyBorder="1" applyAlignment="1">
      <alignment horizontal="center" vertical="center"/>
    </xf>
    <xf numFmtId="174" fontId="40" fillId="3" borderId="1" xfId="0" applyNumberFormat="1" applyFont="1" applyFill="1" applyBorder="1" applyAlignment="1">
      <alignment horizontal="center" vertical="center"/>
    </xf>
    <xf numFmtId="172" fontId="30" fillId="3" borderId="1" xfId="1" applyNumberFormat="1" applyFont="1" applyFill="1" applyBorder="1" applyAlignment="1">
      <alignment horizontal="center" vertical="center"/>
    </xf>
    <xf numFmtId="173" fontId="42" fillId="2" borderId="1" xfId="0" applyNumberFormat="1" applyFont="1" applyFill="1" applyBorder="1" applyAlignment="1">
      <alignment horizontal="center" vertical="center"/>
    </xf>
    <xf numFmtId="175" fontId="30" fillId="3" borderId="1" xfId="1" applyNumberFormat="1" applyFont="1" applyFill="1" applyBorder="1" applyAlignment="1">
      <alignment horizontal="center" vertical="center"/>
    </xf>
    <xf numFmtId="175" fontId="30" fillId="0" borderId="1" xfId="1" applyNumberFormat="1" applyFont="1" applyBorder="1" applyAlignment="1">
      <alignment horizontal="center" vertical="center"/>
    </xf>
    <xf numFmtId="175" fontId="33" fillId="0" borderId="1" xfId="1" applyNumberFormat="1" applyFont="1" applyFill="1" applyBorder="1" applyAlignment="1">
      <alignment horizontal="center" vertical="center"/>
    </xf>
    <xf numFmtId="2" fontId="30" fillId="3" borderId="1" xfId="0" applyNumberFormat="1" applyFont="1" applyFill="1" applyBorder="1" applyAlignment="1">
      <alignment horizontal="center" vertical="center"/>
    </xf>
    <xf numFmtId="2" fontId="22" fillId="9" borderId="1" xfId="0" applyNumberFormat="1" applyFont="1" applyFill="1" applyBorder="1" applyAlignment="1">
      <alignment horizontal="center" vertical="center" wrapText="1"/>
    </xf>
    <xf numFmtId="0" fontId="30" fillId="0" borderId="1" xfId="0" applyFont="1" applyBorder="1" applyAlignment="1">
      <alignment horizontal="left" vertical="center"/>
    </xf>
    <xf numFmtId="0" fontId="33" fillId="0" borderId="1" xfId="0" applyFont="1" applyBorder="1" applyAlignment="1">
      <alignment horizontal="center" vertical="center" wrapText="1"/>
    </xf>
    <xf numFmtId="164" fontId="37" fillId="0" borderId="1" xfId="1" applyFont="1" applyBorder="1" applyAlignment="1">
      <alignment horizontal="center" vertical="center"/>
    </xf>
    <xf numFmtId="173" fontId="30" fillId="3" borderId="1" xfId="0" applyNumberFormat="1" applyFont="1" applyFill="1" applyBorder="1" applyAlignment="1">
      <alignment horizontal="center" vertical="center"/>
    </xf>
    <xf numFmtId="177" fontId="37" fillId="3" borderId="1" xfId="0" applyNumberFormat="1" applyFont="1" applyFill="1" applyBorder="1" applyAlignment="1">
      <alignment horizontal="center" vertical="center"/>
    </xf>
    <xf numFmtId="0" fontId="39" fillId="0" borderId="1" xfId="0" applyFont="1" applyBorder="1" applyAlignment="1">
      <alignment horizontal="left" vertical="center" wrapText="1"/>
    </xf>
    <xf numFmtId="174" fontId="34" fillId="7" borderId="1" xfId="0" applyNumberFormat="1" applyFont="1" applyFill="1" applyBorder="1" applyAlignment="1">
      <alignment horizontal="center" vertical="center"/>
    </xf>
    <xf numFmtId="177" fontId="42" fillId="2" borderId="1" xfId="0" applyNumberFormat="1" applyFont="1" applyFill="1" applyBorder="1" applyAlignment="1">
      <alignment horizontal="center" vertical="center"/>
    </xf>
    <xf numFmtId="0" fontId="22" fillId="0" borderId="24" xfId="0" applyFont="1" applyBorder="1" applyAlignment="1">
      <alignment horizontal="center" vertical="center" wrapText="1"/>
    </xf>
    <xf numFmtId="2" fontId="22" fillId="0" borderId="24" xfId="0" applyNumberFormat="1" applyFont="1" applyBorder="1" applyAlignment="1">
      <alignment horizontal="center" vertical="center" wrapText="1"/>
    </xf>
    <xf numFmtId="164" fontId="30" fillId="0" borderId="24" xfId="1" applyFont="1" applyBorder="1" applyAlignment="1">
      <alignment horizontal="left" vertical="center" wrapText="1"/>
    </xf>
    <xf numFmtId="164" fontId="30" fillId="0" borderId="24" xfId="1" applyFont="1" applyFill="1" applyBorder="1" applyAlignment="1">
      <alignment horizontal="left" vertical="center" wrapText="1"/>
    </xf>
    <xf numFmtId="0" fontId="30" fillId="0" borderId="19" xfId="0" applyFont="1" applyBorder="1" applyAlignment="1">
      <alignment vertical="center"/>
    </xf>
    <xf numFmtId="0" fontId="30" fillId="3" borderId="1" xfId="0" applyFont="1" applyFill="1" applyBorder="1" applyAlignment="1">
      <alignment horizontal="left" vertical="center" wrapText="1"/>
    </xf>
    <xf numFmtId="0" fontId="30" fillId="3" borderId="19" xfId="0" applyFont="1" applyFill="1" applyBorder="1" applyAlignment="1">
      <alignment horizontal="center" vertical="center"/>
    </xf>
    <xf numFmtId="0" fontId="30" fillId="3" borderId="20" xfId="0" applyFont="1" applyFill="1" applyBorder="1" applyAlignment="1">
      <alignment horizontal="center" vertical="center"/>
    </xf>
    <xf numFmtId="0" fontId="30" fillId="3" borderId="21" xfId="0" applyFont="1" applyFill="1" applyBorder="1" applyAlignment="1">
      <alignment horizontal="center" vertical="center"/>
    </xf>
    <xf numFmtId="0" fontId="34" fillId="3" borderId="1" xfId="0" applyFont="1" applyFill="1" applyBorder="1" applyAlignment="1">
      <alignment horizontal="right" vertical="center"/>
    </xf>
    <xf numFmtId="0" fontId="31" fillId="0" borderId="6" xfId="0" applyFont="1" applyBorder="1" applyAlignment="1">
      <alignment horizontal="right" vertical="center" wrapText="1"/>
    </xf>
    <xf numFmtId="0" fontId="31" fillId="0" borderId="22" xfId="0" applyFont="1" applyBorder="1" applyAlignment="1">
      <alignment horizontal="right" vertical="center" wrapText="1"/>
    </xf>
    <xf numFmtId="0" fontId="31" fillId="0" borderId="23" xfId="0" applyFont="1" applyBorder="1" applyAlignment="1">
      <alignment horizontal="right" vertical="center" wrapText="1"/>
    </xf>
    <xf numFmtId="0" fontId="34" fillId="7" borderId="1" xfId="0" applyFont="1" applyFill="1" applyBorder="1" applyAlignment="1">
      <alignment horizontal="right" vertical="center"/>
    </xf>
    <xf numFmtId="0" fontId="34" fillId="0" borderId="1" xfId="0" applyFont="1" applyBorder="1" applyAlignment="1">
      <alignment horizontal="center" vertical="center"/>
    </xf>
    <xf numFmtId="0" fontId="42" fillId="2" borderId="1" xfId="0" applyFont="1" applyFill="1" applyBorder="1" applyAlignment="1">
      <alignment horizontal="left" vertical="center" wrapText="1"/>
    </xf>
    <xf numFmtId="0" fontId="38" fillId="2" borderId="11" xfId="2" applyFont="1" applyFill="1" applyBorder="1" applyAlignment="1">
      <alignment horizontal="center" vertical="center"/>
    </xf>
    <xf numFmtId="0" fontId="38" fillId="2" borderId="12" xfId="2" applyFont="1" applyFill="1" applyBorder="1" applyAlignment="1">
      <alignment horizontal="center" vertical="center"/>
    </xf>
    <xf numFmtId="0" fontId="38" fillId="2" borderId="13" xfId="2" applyFont="1" applyFill="1" applyBorder="1" applyAlignment="1">
      <alignment horizontal="center" vertical="center"/>
    </xf>
    <xf numFmtId="0" fontId="42" fillId="2" borderId="1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15"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22" fillId="9" borderId="1" xfId="0" applyFont="1" applyFill="1" applyBorder="1" applyAlignment="1">
      <alignment horizontal="left" vertical="center" wrapText="1"/>
    </xf>
    <xf numFmtId="171" fontId="31" fillId="3" borderId="1" xfId="1" applyNumberFormat="1" applyFont="1" applyFill="1" applyBorder="1" applyAlignment="1">
      <alignment horizontal="center" vertical="center" wrapText="1"/>
    </xf>
    <xf numFmtId="173" fontId="22" fillId="3" borderId="1" xfId="0" applyNumberFormat="1" applyFont="1" applyFill="1" applyBorder="1" applyAlignment="1">
      <alignment horizontal="left" vertical="center" wrapText="1"/>
    </xf>
    <xf numFmtId="0" fontId="42" fillId="2" borderId="1" xfId="0" applyFont="1" applyFill="1" applyBorder="1" applyAlignment="1">
      <alignment horizontal="left" vertical="center"/>
    </xf>
    <xf numFmtId="0" fontId="30" fillId="9" borderId="1" xfId="0" applyFont="1" applyFill="1" applyBorder="1" applyAlignment="1">
      <alignment horizontal="left" vertical="center"/>
    </xf>
    <xf numFmtId="0" fontId="22" fillId="3" borderId="1" xfId="0" applyFont="1" applyFill="1" applyBorder="1" applyAlignment="1">
      <alignment horizontal="left"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xf>
    <xf numFmtId="0" fontId="30" fillId="9" borderId="6" xfId="0" applyFont="1" applyFill="1" applyBorder="1" applyAlignment="1">
      <alignment horizontal="left" vertical="center" wrapText="1"/>
    </xf>
    <xf numFmtId="0" fontId="30" fillId="9" borderId="22" xfId="0" applyFont="1" applyFill="1" applyBorder="1" applyAlignment="1">
      <alignment horizontal="left" vertical="center" wrapText="1"/>
    </xf>
    <xf numFmtId="0" fontId="30" fillId="9" borderId="23" xfId="0" applyFont="1" applyFill="1" applyBorder="1" applyAlignment="1">
      <alignment horizontal="left" vertical="center" wrapText="1"/>
    </xf>
    <xf numFmtId="0" fontId="30" fillId="9"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7" fillId="5" borderId="2" xfId="0" applyFont="1" applyFill="1" applyBorder="1" applyAlignment="1">
      <alignment horizontal="center"/>
    </xf>
    <xf numFmtId="0" fontId="8" fillId="4"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27" fillId="3" borderId="2" xfId="0" applyFont="1" applyFill="1" applyBorder="1" applyAlignment="1">
      <alignment horizontal="left"/>
    </xf>
    <xf numFmtId="0" fontId="26" fillId="3" borderId="2" xfId="0" applyFont="1" applyFill="1" applyBorder="1" applyAlignment="1">
      <alignment horizontal="center" vertical="center" wrapText="1"/>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1" fillId="6"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0" fillId="5" borderId="1" xfId="0" applyFill="1" applyBorder="1" applyAlignment="1">
      <alignment horizontal="center"/>
    </xf>
    <xf numFmtId="0" fontId="7" fillId="0" borderId="2" xfId="0" applyFont="1" applyBorder="1" applyAlignment="1">
      <alignment horizontal="center" vertical="center"/>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0" fillId="0" borderId="1" xfId="0" applyBorder="1" applyAlignment="1">
      <alignment horizontal="center" vertical="center"/>
    </xf>
    <xf numFmtId="0" fontId="15" fillId="6" borderId="2" xfId="0" applyFont="1" applyFill="1" applyBorder="1" applyAlignment="1">
      <alignment horizontal="center" vertical="center" wrapText="1"/>
    </xf>
    <xf numFmtId="0" fontId="15" fillId="6" borderId="2" xfId="0" applyFont="1" applyFill="1" applyBorder="1" applyAlignment="1">
      <alignment horizontal="center" vertical="center"/>
    </xf>
    <xf numFmtId="0" fontId="15" fillId="6" borderId="2" xfId="0" applyFont="1" applyFill="1" applyBorder="1" applyAlignment="1">
      <alignment horizontal="left" vertical="center"/>
    </xf>
    <xf numFmtId="0" fontId="15" fillId="6" borderId="4"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5" borderId="1" xfId="0" applyFill="1" applyBorder="1" applyAlignment="1">
      <alignment horizontal="center" vertical="center"/>
    </xf>
  </cellXfs>
  <cellStyles count="11">
    <cellStyle name="Euro" xfId="4" xr:uid="{00000000-0005-0000-0000-000000000000}"/>
    <cellStyle name="Millares" xfId="3" builtinId="3"/>
    <cellStyle name="Millares 2" xfId="8" xr:uid="{00000000-0005-0000-0000-000002000000}"/>
    <cellStyle name="Moneda" xfId="1" builtinId="4"/>
    <cellStyle name="Moneda 2" xfId="9" xr:uid="{00000000-0005-0000-0000-000004000000}"/>
    <cellStyle name="Normal" xfId="0" builtinId="0"/>
    <cellStyle name="Normal 2" xfId="6" xr:uid="{00000000-0005-0000-0000-000006000000}"/>
    <cellStyle name="Normal 3" xfId="5" xr:uid="{00000000-0005-0000-0000-000007000000}"/>
    <cellStyle name="Normal 54" xfId="2" xr:uid="{00000000-0005-0000-0000-000008000000}"/>
    <cellStyle name="Porcentaje 2" xfId="7" xr:uid="{00000000-0005-0000-0000-000009000000}"/>
    <cellStyle name="Porcentaje 3"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6"/>
  <sheetViews>
    <sheetView tabSelected="1" view="pageBreakPreview" zoomScale="80" zoomScaleNormal="85" zoomScaleSheetLayoutView="80" workbookViewId="0">
      <selection activeCell="L9" sqref="L9"/>
    </sheetView>
  </sheetViews>
  <sheetFormatPr baseColWidth="10" defaultColWidth="11" defaultRowHeight="13.2" x14ac:dyDescent="0.25"/>
  <cols>
    <col min="1" max="1" width="10.88671875" style="112" customWidth="1"/>
    <col min="2" max="2" width="45.33203125" style="112" customWidth="1"/>
    <col min="3" max="3" width="11" style="112" customWidth="1"/>
    <col min="4" max="4" width="12.5546875" style="112" customWidth="1"/>
    <col min="5" max="5" width="12.33203125" style="112" customWidth="1"/>
    <col min="6" max="6" width="11.5546875" style="112" customWidth="1"/>
    <col min="7" max="7" width="14.6640625" style="112" customWidth="1"/>
    <col min="8" max="16384" width="11" style="112"/>
  </cols>
  <sheetData>
    <row r="1" spans="1:9" ht="21" x14ac:dyDescent="0.25">
      <c r="A1" s="198" t="s">
        <v>0</v>
      </c>
      <c r="B1" s="199"/>
      <c r="C1" s="199"/>
      <c r="D1" s="199"/>
      <c r="E1" s="199"/>
      <c r="F1" s="199"/>
      <c r="G1" s="200"/>
    </row>
    <row r="2" spans="1:9" x14ac:dyDescent="0.25">
      <c r="A2" s="201" t="s">
        <v>1</v>
      </c>
      <c r="B2" s="202"/>
      <c r="C2" s="202"/>
      <c r="D2" s="202"/>
      <c r="E2" s="202"/>
      <c r="F2" s="202"/>
      <c r="G2" s="203"/>
    </row>
    <row r="3" spans="1:9" x14ac:dyDescent="0.25">
      <c r="A3" s="201" t="s">
        <v>2</v>
      </c>
      <c r="B3" s="202"/>
      <c r="C3" s="202"/>
      <c r="D3" s="202"/>
      <c r="E3" s="202"/>
      <c r="F3" s="202"/>
      <c r="G3" s="203"/>
    </row>
    <row r="4" spans="1:9" x14ac:dyDescent="0.25">
      <c r="A4" s="204" t="s">
        <v>3</v>
      </c>
      <c r="B4" s="205"/>
      <c r="C4" s="205"/>
      <c r="D4" s="205"/>
      <c r="E4" s="205"/>
      <c r="F4" s="205"/>
      <c r="G4" s="206"/>
    </row>
    <row r="5" spans="1:9" ht="26.4" x14ac:dyDescent="0.25">
      <c r="A5" s="135" t="s">
        <v>4</v>
      </c>
      <c r="B5" s="135" t="s">
        <v>5</v>
      </c>
      <c r="C5" s="135" t="s">
        <v>6</v>
      </c>
      <c r="D5" s="136" t="s">
        <v>7</v>
      </c>
      <c r="E5" s="135" t="s">
        <v>8</v>
      </c>
      <c r="F5" s="135" t="s">
        <v>9</v>
      </c>
      <c r="G5" s="135" t="s">
        <v>10</v>
      </c>
    </row>
    <row r="6" spans="1:9" s="113" customFormat="1" ht="15.6" customHeight="1" x14ac:dyDescent="0.25">
      <c r="A6" s="137">
        <v>1</v>
      </c>
      <c r="B6" s="197" t="s">
        <v>11</v>
      </c>
      <c r="C6" s="197"/>
      <c r="D6" s="197"/>
      <c r="E6" s="197"/>
      <c r="F6" s="197"/>
      <c r="G6" s="181"/>
    </row>
    <row r="7" spans="1:9" s="113" customFormat="1" ht="15.6" customHeight="1" x14ac:dyDescent="0.25">
      <c r="A7" s="138">
        <v>1.1000000000000001</v>
      </c>
      <c r="B7" s="207" t="s">
        <v>12</v>
      </c>
      <c r="C7" s="207"/>
      <c r="D7" s="207"/>
      <c r="E7" s="207"/>
      <c r="F7" s="207"/>
      <c r="G7" s="208"/>
    </row>
    <row r="8" spans="1:9" ht="55.5" customHeight="1" x14ac:dyDescent="0.25">
      <c r="A8" s="139" t="s">
        <v>13</v>
      </c>
      <c r="B8" s="140" t="s">
        <v>14</v>
      </c>
      <c r="C8" s="141" t="s">
        <v>15</v>
      </c>
      <c r="D8" s="142">
        <f>37.21+45</f>
        <v>82.210000000000008</v>
      </c>
      <c r="E8" s="143"/>
      <c r="F8" s="144"/>
      <c r="G8" s="208"/>
    </row>
    <row r="9" spans="1:9" ht="38.4" customHeight="1" x14ac:dyDescent="0.25">
      <c r="A9" s="139" t="s">
        <v>16</v>
      </c>
      <c r="B9" s="140" t="s">
        <v>17</v>
      </c>
      <c r="C9" s="141" t="s">
        <v>15</v>
      </c>
      <c r="D9" s="142">
        <f>37.21+45</f>
        <v>82.210000000000008</v>
      </c>
      <c r="E9" s="143"/>
      <c r="F9" s="143"/>
      <c r="G9" s="208"/>
    </row>
    <row r="10" spans="1:9" ht="67.5" customHeight="1" x14ac:dyDescent="0.25">
      <c r="A10" s="139" t="s">
        <v>18</v>
      </c>
      <c r="B10" s="140" t="s">
        <v>19</v>
      </c>
      <c r="C10" s="141" t="s">
        <v>15</v>
      </c>
      <c r="D10" s="142">
        <v>45</v>
      </c>
      <c r="E10" s="143"/>
      <c r="F10" s="143"/>
      <c r="G10" s="208"/>
    </row>
    <row r="11" spans="1:9" ht="49.5" customHeight="1" x14ac:dyDescent="0.25">
      <c r="A11" s="139" t="s">
        <v>20</v>
      </c>
      <c r="B11" s="140" t="s">
        <v>21</v>
      </c>
      <c r="C11" s="141" t="s">
        <v>15</v>
      </c>
      <c r="D11" s="142">
        <f>113.52+22.2</f>
        <v>135.72</v>
      </c>
      <c r="E11" s="143"/>
      <c r="F11" s="143"/>
      <c r="G11" s="208"/>
    </row>
    <row r="12" spans="1:9" ht="34.200000000000003" customHeight="1" x14ac:dyDescent="0.25">
      <c r="A12" s="139" t="s">
        <v>22</v>
      </c>
      <c r="B12" s="140" t="s">
        <v>23</v>
      </c>
      <c r="C12" s="141" t="s">
        <v>24</v>
      </c>
      <c r="D12" s="142">
        <v>3.5</v>
      </c>
      <c r="E12" s="143"/>
      <c r="F12" s="143"/>
      <c r="G12" s="208"/>
    </row>
    <row r="13" spans="1:9" ht="30" customHeight="1" x14ac:dyDescent="0.25">
      <c r="A13" s="139" t="s">
        <v>25</v>
      </c>
      <c r="B13" s="140" t="s">
        <v>26</v>
      </c>
      <c r="C13" s="141" t="s">
        <v>15</v>
      </c>
      <c r="D13" s="142">
        <f>37.21+45</f>
        <v>82.210000000000008</v>
      </c>
      <c r="E13" s="143"/>
      <c r="F13" s="143"/>
      <c r="G13" s="208"/>
    </row>
    <row r="14" spans="1:9" ht="41.4" customHeight="1" x14ac:dyDescent="0.25">
      <c r="A14" s="139" t="s">
        <v>27</v>
      </c>
      <c r="B14" s="140" t="s">
        <v>28</v>
      </c>
      <c r="C14" s="141" t="s">
        <v>29</v>
      </c>
      <c r="D14" s="142">
        <f>D13*0.1+D11*0.15+560*0.01+0.3</f>
        <v>34.478999999999999</v>
      </c>
      <c r="E14" s="145"/>
      <c r="F14" s="143"/>
      <c r="G14" s="208"/>
      <c r="I14" s="117"/>
    </row>
    <row r="15" spans="1:9" s="113" customFormat="1" ht="51.45" customHeight="1" x14ac:dyDescent="0.25">
      <c r="A15" s="139" t="s">
        <v>30</v>
      </c>
      <c r="B15" s="140" t="s">
        <v>31</v>
      </c>
      <c r="C15" s="141" t="s">
        <v>32</v>
      </c>
      <c r="D15" s="142">
        <v>8</v>
      </c>
      <c r="E15" s="143"/>
      <c r="F15" s="143"/>
      <c r="G15" s="208"/>
    </row>
    <row r="16" spans="1:9" s="113" customFormat="1" ht="15" x14ac:dyDescent="0.25">
      <c r="A16" s="138">
        <v>1.2</v>
      </c>
      <c r="B16" s="207" t="s">
        <v>33</v>
      </c>
      <c r="C16" s="207"/>
      <c r="D16" s="207"/>
      <c r="E16" s="207"/>
      <c r="F16" s="207"/>
      <c r="G16" s="208"/>
    </row>
    <row r="17" spans="1:7" s="113" customFormat="1" ht="31.2" customHeight="1" x14ac:dyDescent="0.25">
      <c r="A17" s="139" t="s">
        <v>34</v>
      </c>
      <c r="B17" s="140" t="s">
        <v>35</v>
      </c>
      <c r="C17" s="141" t="s">
        <v>36</v>
      </c>
      <c r="D17" s="142">
        <v>2</v>
      </c>
      <c r="E17" s="143"/>
      <c r="F17" s="143"/>
      <c r="G17" s="208"/>
    </row>
    <row r="18" spans="1:7" s="113" customFormat="1" ht="34.5" customHeight="1" x14ac:dyDescent="0.25">
      <c r="A18" s="134"/>
      <c r="B18" s="209" t="s">
        <v>37</v>
      </c>
      <c r="C18" s="209"/>
      <c r="D18" s="209"/>
      <c r="E18" s="209"/>
      <c r="F18" s="209"/>
      <c r="G18" s="208"/>
    </row>
    <row r="19" spans="1:7" s="118" customFormat="1" x14ac:dyDescent="0.25">
      <c r="A19" s="137">
        <v>2</v>
      </c>
      <c r="B19" s="197" t="s">
        <v>38</v>
      </c>
      <c r="C19" s="197"/>
      <c r="D19" s="197"/>
      <c r="E19" s="197"/>
      <c r="F19" s="197"/>
      <c r="G19" s="181"/>
    </row>
    <row r="20" spans="1:7" x14ac:dyDescent="0.25">
      <c r="A20" s="146" t="s">
        <v>39</v>
      </c>
      <c r="B20" s="211" t="s">
        <v>40</v>
      </c>
      <c r="C20" s="211"/>
      <c r="D20" s="211"/>
      <c r="E20" s="211"/>
      <c r="F20" s="211"/>
      <c r="G20" s="196"/>
    </row>
    <row r="21" spans="1:7" s="118" customFormat="1" ht="303" customHeight="1" x14ac:dyDescent="0.25">
      <c r="A21" s="147" t="s">
        <v>41</v>
      </c>
      <c r="B21" s="133" t="s">
        <v>42</v>
      </c>
      <c r="C21" s="148" t="s">
        <v>15</v>
      </c>
      <c r="D21" s="147">
        <v>127</v>
      </c>
      <c r="E21" s="149"/>
      <c r="F21" s="150"/>
      <c r="G21" s="196"/>
    </row>
    <row r="22" spans="1:7" s="118" customFormat="1" x14ac:dyDescent="0.25">
      <c r="A22" s="146" t="s">
        <v>43</v>
      </c>
      <c r="B22" s="211" t="s">
        <v>44</v>
      </c>
      <c r="C22" s="211"/>
      <c r="D22" s="211"/>
      <c r="E22" s="211"/>
      <c r="F22" s="211"/>
      <c r="G22" s="196"/>
    </row>
    <row r="23" spans="1:7" s="118" customFormat="1" ht="309.60000000000002" customHeight="1" x14ac:dyDescent="0.25">
      <c r="A23" s="147" t="s">
        <v>45</v>
      </c>
      <c r="B23" s="133" t="s">
        <v>46</v>
      </c>
      <c r="C23" s="148" t="s">
        <v>15</v>
      </c>
      <c r="D23" s="147">
        <v>126</v>
      </c>
      <c r="E23" s="149"/>
      <c r="F23" s="150"/>
      <c r="G23" s="196"/>
    </row>
    <row r="24" spans="1:7" x14ac:dyDescent="0.25">
      <c r="A24" s="146" t="s">
        <v>47</v>
      </c>
      <c r="B24" s="211" t="s">
        <v>48</v>
      </c>
      <c r="C24" s="211"/>
      <c r="D24" s="211"/>
      <c r="E24" s="211"/>
      <c r="F24" s="211"/>
      <c r="G24" s="196"/>
    </row>
    <row r="25" spans="1:7" s="118" customFormat="1" ht="300" customHeight="1" x14ac:dyDescent="0.25">
      <c r="A25" s="147" t="s">
        <v>49</v>
      </c>
      <c r="B25" s="133" t="s">
        <v>50</v>
      </c>
      <c r="C25" s="148" t="s">
        <v>15</v>
      </c>
      <c r="D25" s="148">
        <v>32.200000000000003</v>
      </c>
      <c r="E25" s="149"/>
      <c r="F25" s="151"/>
      <c r="G25" s="196"/>
    </row>
    <row r="26" spans="1:7" s="118" customFormat="1" ht="15" customHeight="1" x14ac:dyDescent="0.25">
      <c r="A26" s="146" t="s">
        <v>51</v>
      </c>
      <c r="B26" s="211" t="s">
        <v>52</v>
      </c>
      <c r="C26" s="211"/>
      <c r="D26" s="211"/>
      <c r="E26" s="211"/>
      <c r="F26" s="211"/>
      <c r="G26" s="196"/>
    </row>
    <row r="27" spans="1:7" s="118" customFormat="1" ht="176.4" customHeight="1" x14ac:dyDescent="0.25">
      <c r="A27" s="147" t="s">
        <v>53</v>
      </c>
      <c r="B27" s="140" t="s">
        <v>54</v>
      </c>
      <c r="C27" s="148" t="s">
        <v>15</v>
      </c>
      <c r="D27" s="148">
        <v>155.19999999999999</v>
      </c>
      <c r="E27" s="149"/>
      <c r="F27" s="150"/>
      <c r="G27" s="196"/>
    </row>
    <row r="28" spans="1:7" s="118" customFormat="1" ht="12" customHeight="1" x14ac:dyDescent="0.25">
      <c r="A28" s="137">
        <v>3</v>
      </c>
      <c r="B28" s="197" t="s">
        <v>55</v>
      </c>
      <c r="C28" s="197"/>
      <c r="D28" s="197"/>
      <c r="E28" s="197"/>
      <c r="F28" s="197"/>
      <c r="G28" s="181"/>
    </row>
    <row r="29" spans="1:7" s="113" customFormat="1" ht="126.6" customHeight="1" x14ac:dyDescent="0.25">
      <c r="A29" s="152">
        <v>3.1</v>
      </c>
      <c r="B29" s="153" t="s">
        <v>56</v>
      </c>
      <c r="C29" s="148" t="s">
        <v>15</v>
      </c>
      <c r="D29" s="148">
        <v>102</v>
      </c>
      <c r="E29" s="149"/>
      <c r="F29" s="150"/>
      <c r="G29" s="148"/>
    </row>
    <row r="30" spans="1:7" s="118" customFormat="1" ht="314.39999999999998" customHeight="1" x14ac:dyDescent="0.25">
      <c r="A30" s="152">
        <v>3.2</v>
      </c>
      <c r="B30" s="140" t="s">
        <v>57</v>
      </c>
      <c r="C30" s="141" t="s">
        <v>15</v>
      </c>
      <c r="D30" s="141">
        <v>86.07</v>
      </c>
      <c r="E30" s="154"/>
      <c r="F30" s="155"/>
      <c r="G30" s="156"/>
    </row>
    <row r="31" spans="1:7" s="113" customFormat="1" ht="127.2" customHeight="1" x14ac:dyDescent="0.25">
      <c r="A31" s="152">
        <v>3.3</v>
      </c>
      <c r="B31" s="157" t="s">
        <v>58</v>
      </c>
      <c r="C31" s="141" t="s">
        <v>15</v>
      </c>
      <c r="D31" s="142">
        <v>107.5</v>
      </c>
      <c r="E31" s="149"/>
      <c r="F31" s="149"/>
      <c r="G31" s="158"/>
    </row>
    <row r="32" spans="1:7" s="118" customFormat="1" ht="329.4" customHeight="1" x14ac:dyDescent="0.25">
      <c r="A32" s="152">
        <v>3.4</v>
      </c>
      <c r="B32" s="157" t="s">
        <v>59</v>
      </c>
      <c r="C32" s="141" t="s">
        <v>15</v>
      </c>
      <c r="D32" s="141">
        <v>4.5999999999999996</v>
      </c>
      <c r="E32" s="159"/>
      <c r="F32" s="149"/>
      <c r="G32" s="156"/>
    </row>
    <row r="33" spans="1:7" ht="152.4" customHeight="1" x14ac:dyDescent="0.25">
      <c r="A33" s="152">
        <v>3.5</v>
      </c>
      <c r="B33" s="160" t="s">
        <v>60</v>
      </c>
      <c r="C33" s="148" t="s">
        <v>24</v>
      </c>
      <c r="D33" s="148">
        <v>67.900000000000006</v>
      </c>
      <c r="E33" s="161"/>
      <c r="F33" s="162"/>
      <c r="G33" s="148"/>
    </row>
    <row r="34" spans="1:7" s="118" customFormat="1" ht="193.2" customHeight="1" x14ac:dyDescent="0.25">
      <c r="A34" s="152">
        <v>3.6</v>
      </c>
      <c r="B34" s="163" t="s">
        <v>61</v>
      </c>
      <c r="C34" s="164" t="s">
        <v>15</v>
      </c>
      <c r="D34" s="164">
        <v>23.87</v>
      </c>
      <c r="E34" s="165"/>
      <c r="F34" s="166"/>
      <c r="G34" s="167"/>
    </row>
    <row r="35" spans="1:7" x14ac:dyDescent="0.25">
      <c r="A35" s="168">
        <v>4</v>
      </c>
      <c r="B35" s="210" t="s">
        <v>437</v>
      </c>
      <c r="C35" s="210"/>
      <c r="D35" s="210"/>
      <c r="E35" s="210"/>
      <c r="F35" s="210"/>
      <c r="G35" s="181"/>
    </row>
    <row r="36" spans="1:7" ht="53.1" customHeight="1" x14ac:dyDescent="0.25">
      <c r="A36" s="152">
        <v>4.0999999999999996</v>
      </c>
      <c r="B36" s="153" t="s">
        <v>62</v>
      </c>
      <c r="C36" s="148" t="s">
        <v>36</v>
      </c>
      <c r="D36" s="148">
        <v>6</v>
      </c>
      <c r="E36" s="169"/>
      <c r="F36" s="170"/>
      <c r="G36" s="214"/>
    </row>
    <row r="37" spans="1:7" ht="74.7" customHeight="1" x14ac:dyDescent="0.25">
      <c r="A37" s="152">
        <v>4.2</v>
      </c>
      <c r="B37" s="153" t="s">
        <v>63</v>
      </c>
      <c r="C37" s="148" t="s">
        <v>36</v>
      </c>
      <c r="D37" s="148">
        <v>4</v>
      </c>
      <c r="E37" s="149"/>
      <c r="F37" s="149"/>
      <c r="G37" s="214"/>
    </row>
    <row r="38" spans="1:7" ht="78" customHeight="1" x14ac:dyDescent="0.25">
      <c r="A38" s="152">
        <v>4.3</v>
      </c>
      <c r="B38" s="153" t="s">
        <v>64</v>
      </c>
      <c r="C38" s="148" t="s">
        <v>36</v>
      </c>
      <c r="D38" s="148">
        <v>3</v>
      </c>
      <c r="E38" s="149"/>
      <c r="F38" s="149"/>
      <c r="G38" s="214"/>
    </row>
    <row r="39" spans="1:7" ht="118.2" customHeight="1" x14ac:dyDescent="0.25">
      <c r="A39" s="152">
        <v>4.4000000000000004</v>
      </c>
      <c r="B39" s="153" t="s">
        <v>65</v>
      </c>
      <c r="C39" s="148" t="s">
        <v>36</v>
      </c>
      <c r="D39" s="148">
        <v>1</v>
      </c>
      <c r="E39" s="171"/>
      <c r="F39" s="170"/>
      <c r="G39" s="214"/>
    </row>
    <row r="40" spans="1:7" s="124" customFormat="1" ht="64.2" customHeight="1" x14ac:dyDescent="0.3">
      <c r="A40" s="152">
        <v>4.5</v>
      </c>
      <c r="B40" s="153" t="s">
        <v>66</v>
      </c>
      <c r="C40" s="148" t="s">
        <v>24</v>
      </c>
      <c r="D40" s="148">
        <v>10</v>
      </c>
      <c r="E40" s="149"/>
      <c r="F40" s="149"/>
      <c r="G40" s="214"/>
    </row>
    <row r="41" spans="1:7" s="124" customFormat="1" ht="51" customHeight="1" x14ac:dyDescent="0.3">
      <c r="A41" s="152">
        <v>4.5999999999999996</v>
      </c>
      <c r="B41" s="153" t="s">
        <v>67</v>
      </c>
      <c r="C41" s="148" t="s">
        <v>24</v>
      </c>
      <c r="D41" s="148">
        <v>10</v>
      </c>
      <c r="E41" s="149"/>
      <c r="F41" s="149"/>
      <c r="G41" s="214"/>
    </row>
    <row r="42" spans="1:7" s="124" customFormat="1" ht="17.100000000000001" customHeight="1" x14ac:dyDescent="0.3">
      <c r="A42" s="138">
        <v>4.7</v>
      </c>
      <c r="B42" s="207" t="s">
        <v>68</v>
      </c>
      <c r="C42" s="207"/>
      <c r="D42" s="207"/>
      <c r="E42" s="207"/>
      <c r="F42" s="207"/>
      <c r="G42" s="214"/>
    </row>
    <row r="43" spans="1:7" s="124" customFormat="1" ht="96" customHeight="1" x14ac:dyDescent="0.3">
      <c r="A43" s="147" t="s">
        <v>69</v>
      </c>
      <c r="B43" s="153" t="s">
        <v>70</v>
      </c>
      <c r="C43" s="148" t="s">
        <v>71</v>
      </c>
      <c r="D43" s="164">
        <v>2</v>
      </c>
      <c r="E43" s="149"/>
      <c r="F43" s="149"/>
      <c r="G43" s="214"/>
    </row>
    <row r="44" spans="1:7" s="124" customFormat="1" ht="17.100000000000001" customHeight="1" x14ac:dyDescent="0.3">
      <c r="A44" s="138">
        <v>4.8</v>
      </c>
      <c r="B44" s="207" t="s">
        <v>72</v>
      </c>
      <c r="C44" s="207"/>
      <c r="D44" s="207"/>
      <c r="E44" s="207"/>
      <c r="F44" s="207"/>
      <c r="G44" s="214"/>
    </row>
    <row r="45" spans="1:7" s="124" customFormat="1" ht="17.100000000000001" customHeight="1" x14ac:dyDescent="0.3">
      <c r="A45" s="142" t="s">
        <v>73</v>
      </c>
      <c r="B45" s="212" t="s">
        <v>74</v>
      </c>
      <c r="C45" s="212"/>
      <c r="D45" s="212"/>
      <c r="E45" s="212"/>
      <c r="F45" s="212"/>
      <c r="G45" s="214"/>
    </row>
    <row r="46" spans="1:7" s="124" customFormat="1" ht="48.6" customHeight="1" x14ac:dyDescent="0.3">
      <c r="A46" s="142" t="s">
        <v>75</v>
      </c>
      <c r="B46" s="153" t="s">
        <v>76</v>
      </c>
      <c r="C46" s="148" t="s">
        <v>36</v>
      </c>
      <c r="D46" s="148">
        <v>1</v>
      </c>
      <c r="E46" s="171"/>
      <c r="F46" s="170"/>
      <c r="G46" s="214"/>
    </row>
    <row r="47" spans="1:7" s="124" customFormat="1" ht="42.6" customHeight="1" x14ac:dyDescent="0.3">
      <c r="A47" s="142" t="s">
        <v>77</v>
      </c>
      <c r="B47" s="153" t="s">
        <v>78</v>
      </c>
      <c r="C47" s="148" t="s">
        <v>36</v>
      </c>
      <c r="D47" s="148">
        <v>1</v>
      </c>
      <c r="E47" s="145"/>
      <c r="F47" s="149"/>
      <c r="G47" s="214"/>
    </row>
    <row r="48" spans="1:7" s="124" customFormat="1" ht="15.45" customHeight="1" x14ac:dyDescent="0.3">
      <c r="A48" s="138">
        <v>4.9000000000000004</v>
      </c>
      <c r="B48" s="207" t="s">
        <v>79</v>
      </c>
      <c r="C48" s="207"/>
      <c r="D48" s="207"/>
      <c r="E48" s="207"/>
      <c r="F48" s="207"/>
      <c r="G48" s="214"/>
    </row>
    <row r="49" spans="1:7" s="124" customFormat="1" ht="45.45" customHeight="1" x14ac:dyDescent="0.3">
      <c r="A49" s="142" t="s">
        <v>80</v>
      </c>
      <c r="B49" s="140" t="s">
        <v>81</v>
      </c>
      <c r="C49" s="141" t="s">
        <v>71</v>
      </c>
      <c r="D49" s="141">
        <v>1</v>
      </c>
      <c r="E49" s="143"/>
      <c r="F49" s="143"/>
      <c r="G49" s="214"/>
    </row>
    <row r="50" spans="1:7" s="118" customFormat="1" ht="15" customHeight="1" x14ac:dyDescent="0.25">
      <c r="A50" s="146">
        <v>4.0999999999999996</v>
      </c>
      <c r="B50" s="211" t="s">
        <v>82</v>
      </c>
      <c r="C50" s="211"/>
      <c r="D50" s="211"/>
      <c r="E50" s="211"/>
      <c r="F50" s="211"/>
      <c r="G50" s="214"/>
    </row>
    <row r="51" spans="1:7" s="118" customFormat="1" ht="15" customHeight="1" x14ac:dyDescent="0.25">
      <c r="A51" s="172" t="s">
        <v>83</v>
      </c>
      <c r="B51" s="213" t="s">
        <v>84</v>
      </c>
      <c r="C51" s="213"/>
      <c r="D51" s="213"/>
      <c r="E51" s="213"/>
      <c r="F51" s="213"/>
      <c r="G51" s="214"/>
    </row>
    <row r="52" spans="1:7" s="118" customFormat="1" ht="38.4" customHeight="1" x14ac:dyDescent="0.25">
      <c r="A52" s="172" t="s">
        <v>85</v>
      </c>
      <c r="B52" s="153" t="s">
        <v>86</v>
      </c>
      <c r="C52" s="148" t="s">
        <v>24</v>
      </c>
      <c r="D52" s="148">
        <v>56</v>
      </c>
      <c r="E52" s="149"/>
      <c r="F52" s="149"/>
      <c r="G52" s="214"/>
    </row>
    <row r="53" spans="1:7" s="118" customFormat="1" ht="15" customHeight="1" x14ac:dyDescent="0.25">
      <c r="A53" s="146" t="s">
        <v>87</v>
      </c>
      <c r="B53" s="211" t="s">
        <v>88</v>
      </c>
      <c r="C53" s="211"/>
      <c r="D53" s="211"/>
      <c r="E53" s="211"/>
      <c r="F53" s="211"/>
      <c r="G53" s="214"/>
    </row>
    <row r="54" spans="1:7" s="118" customFormat="1" ht="71.400000000000006" customHeight="1" x14ac:dyDescent="0.25">
      <c r="A54" s="172" t="s">
        <v>89</v>
      </c>
      <c r="B54" s="153" t="s">
        <v>90</v>
      </c>
      <c r="C54" s="148" t="s">
        <v>24</v>
      </c>
      <c r="D54" s="148">
        <v>23</v>
      </c>
      <c r="E54" s="145"/>
      <c r="F54" s="170"/>
      <c r="G54" s="214"/>
    </row>
    <row r="55" spans="1:7" s="118" customFormat="1" ht="56.4" customHeight="1" x14ac:dyDescent="0.25">
      <c r="A55" s="172" t="s">
        <v>91</v>
      </c>
      <c r="B55" s="153" t="s">
        <v>92</v>
      </c>
      <c r="C55" s="148" t="s">
        <v>24</v>
      </c>
      <c r="D55" s="148">
        <v>0</v>
      </c>
      <c r="E55" s="145"/>
      <c r="F55" s="149"/>
      <c r="G55" s="214"/>
    </row>
    <row r="56" spans="1:7" ht="14.7" customHeight="1" x14ac:dyDescent="0.25">
      <c r="A56" s="173">
        <v>4.1100000000000003</v>
      </c>
      <c r="B56" s="207" t="s">
        <v>93</v>
      </c>
      <c r="C56" s="207"/>
      <c r="D56" s="207"/>
      <c r="E56" s="207"/>
      <c r="F56" s="207"/>
      <c r="G56" s="214"/>
    </row>
    <row r="57" spans="1:7" ht="15" customHeight="1" x14ac:dyDescent="0.25">
      <c r="A57" s="142" t="s">
        <v>94</v>
      </c>
      <c r="B57" s="174" t="s">
        <v>95</v>
      </c>
      <c r="C57" s="148" t="s">
        <v>15</v>
      </c>
      <c r="D57" s="148">
        <v>268.5</v>
      </c>
      <c r="E57" s="149"/>
      <c r="F57" s="149"/>
      <c r="G57" s="214"/>
    </row>
    <row r="58" spans="1:7" s="113" customFormat="1" ht="47.1" customHeight="1" x14ac:dyDescent="0.25">
      <c r="A58" s="142" t="s">
        <v>96</v>
      </c>
      <c r="B58" s="153" t="s">
        <v>97</v>
      </c>
      <c r="C58" s="175" t="s">
        <v>98</v>
      </c>
      <c r="D58" s="148">
        <v>73.510000000000005</v>
      </c>
      <c r="E58" s="145"/>
      <c r="F58" s="176"/>
      <c r="G58" s="214"/>
    </row>
    <row r="59" spans="1:7" ht="15" customHeight="1" x14ac:dyDescent="0.25">
      <c r="A59" s="142" t="s">
        <v>99</v>
      </c>
      <c r="B59" s="153" t="s">
        <v>100</v>
      </c>
      <c r="C59" s="148" t="s">
        <v>15</v>
      </c>
      <c r="D59" s="148">
        <v>268.5</v>
      </c>
      <c r="E59" s="149"/>
      <c r="F59" s="176"/>
      <c r="G59" s="214"/>
    </row>
    <row r="60" spans="1:7" ht="14.7" customHeight="1" x14ac:dyDescent="0.25">
      <c r="A60" s="173">
        <v>4.12</v>
      </c>
      <c r="B60" s="207" t="s">
        <v>101</v>
      </c>
      <c r="C60" s="207"/>
      <c r="D60" s="207"/>
      <c r="E60" s="207"/>
      <c r="F60" s="207"/>
      <c r="G60" s="214"/>
    </row>
    <row r="61" spans="1:7" ht="15" customHeight="1" x14ac:dyDescent="0.25">
      <c r="A61" s="142" t="s">
        <v>94</v>
      </c>
      <c r="B61" s="174" t="s">
        <v>95</v>
      </c>
      <c r="C61" s="148" t="s">
        <v>15</v>
      </c>
      <c r="D61" s="148">
        <v>101.58</v>
      </c>
      <c r="E61" s="149"/>
      <c r="F61" s="149"/>
      <c r="G61" s="214"/>
    </row>
    <row r="62" spans="1:7" ht="51.45" customHeight="1" x14ac:dyDescent="0.25">
      <c r="A62" s="142" t="s">
        <v>96</v>
      </c>
      <c r="B62" s="153" t="s">
        <v>102</v>
      </c>
      <c r="C62" s="148" t="s">
        <v>15</v>
      </c>
      <c r="D62" s="148">
        <v>101.58</v>
      </c>
      <c r="E62" s="145"/>
      <c r="F62" s="176"/>
      <c r="G62" s="214"/>
    </row>
    <row r="63" spans="1:7" ht="47.4" customHeight="1" x14ac:dyDescent="0.25">
      <c r="A63" s="142" t="s">
        <v>99</v>
      </c>
      <c r="B63" s="153" t="s">
        <v>97</v>
      </c>
      <c r="C63" s="175" t="s">
        <v>98</v>
      </c>
      <c r="D63" s="148">
        <v>3.5</v>
      </c>
      <c r="E63" s="145"/>
      <c r="F63" s="149"/>
      <c r="G63" s="214"/>
    </row>
    <row r="64" spans="1:7" ht="66" customHeight="1" x14ac:dyDescent="0.25">
      <c r="A64" s="142" t="s">
        <v>103</v>
      </c>
      <c r="B64" s="160" t="s">
        <v>104</v>
      </c>
      <c r="C64" s="148" t="s">
        <v>15</v>
      </c>
      <c r="D64" s="148">
        <v>101.58</v>
      </c>
      <c r="E64" s="149"/>
      <c r="F64" s="149"/>
      <c r="G64" s="214"/>
    </row>
    <row r="65" spans="1:7" s="113" customFormat="1" ht="61.95" customHeight="1" x14ac:dyDescent="0.25">
      <c r="A65" s="142" t="s">
        <v>105</v>
      </c>
      <c r="B65" s="153" t="s">
        <v>106</v>
      </c>
      <c r="C65" s="148" t="s">
        <v>15</v>
      </c>
      <c r="D65" s="148">
        <v>0</v>
      </c>
      <c r="E65" s="149"/>
      <c r="F65" s="149"/>
      <c r="G65" s="214"/>
    </row>
    <row r="66" spans="1:7" s="113" customFormat="1" ht="16.2" customHeight="1" x14ac:dyDescent="0.25">
      <c r="A66" s="173">
        <v>4.12</v>
      </c>
      <c r="B66" s="218" t="s">
        <v>107</v>
      </c>
      <c r="C66" s="218"/>
      <c r="D66" s="218"/>
      <c r="E66" s="218"/>
      <c r="F66" s="218"/>
      <c r="G66" s="214"/>
    </row>
    <row r="67" spans="1:7" s="113" customFormat="1" ht="99" customHeight="1" x14ac:dyDescent="0.25">
      <c r="A67" s="142" t="s">
        <v>108</v>
      </c>
      <c r="B67" s="160" t="s">
        <v>109</v>
      </c>
      <c r="C67" s="148" t="s">
        <v>71</v>
      </c>
      <c r="D67" s="148">
        <v>1</v>
      </c>
      <c r="E67" s="149"/>
      <c r="F67" s="149"/>
      <c r="G67" s="214"/>
    </row>
    <row r="68" spans="1:7" s="113" customFormat="1" ht="59.4" customHeight="1" x14ac:dyDescent="0.25">
      <c r="A68" s="142" t="s">
        <v>110</v>
      </c>
      <c r="B68" s="160" t="s">
        <v>111</v>
      </c>
      <c r="C68" s="148" t="s">
        <v>24</v>
      </c>
      <c r="D68" s="148">
        <v>50</v>
      </c>
      <c r="E68" s="149"/>
      <c r="F68" s="170"/>
      <c r="G68" s="214"/>
    </row>
    <row r="69" spans="1:7" s="113" customFormat="1" ht="15" x14ac:dyDescent="0.25">
      <c r="A69" s="173">
        <v>4.13</v>
      </c>
      <c r="B69" s="215" t="s">
        <v>433</v>
      </c>
      <c r="C69" s="216"/>
      <c r="D69" s="216"/>
      <c r="E69" s="216"/>
      <c r="F69" s="217"/>
      <c r="G69" s="214"/>
    </row>
    <row r="70" spans="1:7" s="113" customFormat="1" ht="201" customHeight="1" x14ac:dyDescent="0.25">
      <c r="A70" s="142" t="s">
        <v>436</v>
      </c>
      <c r="B70" s="160" t="s">
        <v>434</v>
      </c>
      <c r="C70" s="182" t="s">
        <v>435</v>
      </c>
      <c r="D70" s="183">
        <v>1</v>
      </c>
      <c r="E70" s="184"/>
      <c r="F70" s="185"/>
      <c r="G70" s="214"/>
    </row>
    <row r="71" spans="1:7" s="113" customFormat="1" ht="33.6" customHeight="1" x14ac:dyDescent="0.25">
      <c r="A71" s="219" t="s">
        <v>112</v>
      </c>
      <c r="B71" s="219"/>
      <c r="C71" s="219"/>
      <c r="D71" s="219"/>
      <c r="E71" s="219"/>
      <c r="F71" s="219"/>
      <c r="G71" s="214"/>
    </row>
    <row r="72" spans="1:7" x14ac:dyDescent="0.25">
      <c r="A72" s="168">
        <v>5</v>
      </c>
      <c r="B72" s="210" t="s">
        <v>438</v>
      </c>
      <c r="C72" s="210"/>
      <c r="D72" s="210"/>
      <c r="E72" s="210"/>
      <c r="F72" s="210"/>
      <c r="G72" s="181"/>
    </row>
    <row r="73" spans="1:7" ht="289.2" customHeight="1" x14ac:dyDescent="0.25">
      <c r="A73" s="152">
        <v>5.0999999999999996</v>
      </c>
      <c r="B73" s="160" t="s">
        <v>113</v>
      </c>
      <c r="C73" s="148" t="s">
        <v>114</v>
      </c>
      <c r="D73" s="148">
        <v>1</v>
      </c>
      <c r="E73" s="150"/>
      <c r="F73" s="185"/>
      <c r="G73" s="186"/>
    </row>
    <row r="74" spans="1:7" x14ac:dyDescent="0.25">
      <c r="A74" s="168">
        <v>7</v>
      </c>
      <c r="B74" s="210" t="s">
        <v>115</v>
      </c>
      <c r="C74" s="210"/>
      <c r="D74" s="210"/>
      <c r="E74" s="210"/>
      <c r="F74" s="210"/>
      <c r="G74" s="181"/>
    </row>
    <row r="75" spans="1:7" ht="33" customHeight="1" x14ac:dyDescent="0.25">
      <c r="A75" s="177">
        <v>7.1</v>
      </c>
      <c r="B75" s="187" t="s">
        <v>116</v>
      </c>
      <c r="C75" s="164" t="s">
        <v>117</v>
      </c>
      <c r="D75" s="164">
        <v>1</v>
      </c>
      <c r="E75" s="178"/>
      <c r="F75" s="178"/>
      <c r="G75" s="188"/>
    </row>
    <row r="76" spans="1:7" ht="53.7" customHeight="1" x14ac:dyDescent="0.25">
      <c r="A76" s="177">
        <v>7.2</v>
      </c>
      <c r="B76" s="179" t="s">
        <v>118</v>
      </c>
      <c r="C76" s="164" t="s">
        <v>117</v>
      </c>
      <c r="D76" s="164">
        <v>1</v>
      </c>
      <c r="E76" s="178"/>
      <c r="F76" s="178"/>
      <c r="G76" s="189"/>
    </row>
    <row r="77" spans="1:7" ht="34.200000000000003" customHeight="1" x14ac:dyDescent="0.25">
      <c r="A77" s="177">
        <v>7.3</v>
      </c>
      <c r="B77" s="179" t="s">
        <v>119</v>
      </c>
      <c r="C77" s="164" t="s">
        <v>117</v>
      </c>
      <c r="D77" s="164">
        <v>1</v>
      </c>
      <c r="E77" s="165"/>
      <c r="F77" s="165"/>
      <c r="G77" s="189"/>
    </row>
    <row r="78" spans="1:7" ht="41.4" customHeight="1" x14ac:dyDescent="0.25">
      <c r="A78" s="177">
        <v>7.4</v>
      </c>
      <c r="B78" s="179" t="s">
        <v>120</v>
      </c>
      <c r="C78" s="164" t="s">
        <v>117</v>
      </c>
      <c r="D78" s="164">
        <v>1</v>
      </c>
      <c r="E78" s="165"/>
      <c r="F78" s="165"/>
      <c r="G78" s="190"/>
    </row>
    <row r="79" spans="1:7" s="125" customFormat="1" x14ac:dyDescent="0.25">
      <c r="A79" s="191" t="s">
        <v>121</v>
      </c>
      <c r="B79" s="191"/>
      <c r="C79" s="191"/>
      <c r="D79" s="191"/>
      <c r="E79" s="191"/>
      <c r="F79" s="191"/>
      <c r="G79" s="165"/>
    </row>
    <row r="80" spans="1:7" x14ac:dyDescent="0.25">
      <c r="A80" s="191" t="s">
        <v>441</v>
      </c>
      <c r="B80" s="191"/>
      <c r="C80" s="191"/>
      <c r="D80" s="191"/>
      <c r="E80" s="191"/>
      <c r="F80" s="191"/>
      <c r="G80" s="161"/>
    </row>
    <row r="81" spans="1:7" s="124" customFormat="1" ht="18.899999999999999" customHeight="1" x14ac:dyDescent="0.3">
      <c r="A81" s="191" t="s">
        <v>439</v>
      </c>
      <c r="B81" s="191"/>
      <c r="C81" s="191"/>
      <c r="D81" s="191"/>
      <c r="E81" s="191"/>
      <c r="F81" s="191"/>
      <c r="G81" s="161"/>
    </row>
    <row r="82" spans="1:7" x14ac:dyDescent="0.25">
      <c r="A82" s="191" t="s">
        <v>122</v>
      </c>
      <c r="B82" s="191"/>
      <c r="C82" s="191"/>
      <c r="D82" s="191"/>
      <c r="E82" s="191"/>
      <c r="F82" s="191"/>
      <c r="G82" s="161"/>
    </row>
    <row r="83" spans="1:7" x14ac:dyDescent="0.25">
      <c r="A83" s="191" t="s">
        <v>136</v>
      </c>
      <c r="B83" s="191"/>
      <c r="C83" s="191"/>
      <c r="D83" s="191"/>
      <c r="E83" s="191"/>
      <c r="F83" s="191"/>
      <c r="G83" s="161"/>
    </row>
    <row r="84" spans="1:7" x14ac:dyDescent="0.25">
      <c r="A84" s="191" t="s">
        <v>123</v>
      </c>
      <c r="B84" s="191"/>
      <c r="C84" s="191"/>
      <c r="D84" s="191"/>
      <c r="E84" s="191"/>
      <c r="F84" s="191"/>
      <c r="G84" s="161"/>
    </row>
    <row r="85" spans="1:7" ht="33" customHeight="1" x14ac:dyDescent="0.25">
      <c r="A85" s="192" t="s">
        <v>440</v>
      </c>
      <c r="B85" s="193"/>
      <c r="C85" s="193"/>
      <c r="D85" s="193"/>
      <c r="E85" s="193"/>
      <c r="F85" s="194"/>
      <c r="G85" s="161"/>
    </row>
    <row r="86" spans="1:7" x14ac:dyDescent="0.25">
      <c r="A86" s="195" t="s">
        <v>124</v>
      </c>
      <c r="B86" s="195"/>
      <c r="C86" s="195"/>
      <c r="D86" s="195"/>
      <c r="E86" s="195"/>
      <c r="F86" s="195"/>
      <c r="G86" s="180"/>
    </row>
    <row r="87" spans="1:7" x14ac:dyDescent="0.25">
      <c r="A87" s="126"/>
      <c r="B87" s="127"/>
      <c r="C87" s="128"/>
      <c r="D87" s="128"/>
      <c r="E87" s="128"/>
      <c r="F87" s="128"/>
      <c r="G87" s="128"/>
    </row>
    <row r="88" spans="1:7" x14ac:dyDescent="0.25">
      <c r="A88" s="126"/>
      <c r="B88" s="127"/>
      <c r="C88" s="128"/>
      <c r="D88" s="128"/>
      <c r="E88" s="128"/>
      <c r="F88" s="128"/>
      <c r="G88" s="128"/>
    </row>
    <row r="89" spans="1:7" x14ac:dyDescent="0.25">
      <c r="A89" s="126"/>
      <c r="B89" s="127"/>
      <c r="C89" s="128"/>
      <c r="D89" s="128"/>
      <c r="E89" s="128"/>
      <c r="F89" s="128"/>
      <c r="G89" s="128"/>
    </row>
    <row r="90" spans="1:7" x14ac:dyDescent="0.25">
      <c r="A90" s="126"/>
      <c r="B90" s="127"/>
      <c r="C90" s="128"/>
      <c r="D90" s="128"/>
      <c r="E90" s="128"/>
      <c r="F90" s="128"/>
      <c r="G90" s="128"/>
    </row>
    <row r="91" spans="1:7" x14ac:dyDescent="0.25">
      <c r="A91" s="126"/>
      <c r="B91" s="127"/>
      <c r="C91" s="128"/>
      <c r="D91" s="128"/>
      <c r="E91" s="128"/>
      <c r="F91" s="128"/>
      <c r="G91" s="128"/>
    </row>
    <row r="92" spans="1:7" x14ac:dyDescent="0.25">
      <c r="A92" s="126"/>
      <c r="B92" s="127"/>
      <c r="C92" s="128"/>
      <c r="D92" s="128"/>
      <c r="E92" s="128"/>
      <c r="F92" s="128"/>
      <c r="G92" s="128"/>
    </row>
    <row r="93" spans="1:7" x14ac:dyDescent="0.25">
      <c r="A93" s="126"/>
      <c r="B93" s="127"/>
      <c r="C93" s="128"/>
      <c r="D93" s="128"/>
      <c r="E93" s="128"/>
      <c r="F93" s="128"/>
      <c r="G93" s="128"/>
    </row>
    <row r="94" spans="1:7" x14ac:dyDescent="0.25">
      <c r="A94" s="126"/>
      <c r="B94" s="127"/>
      <c r="C94" s="128"/>
      <c r="D94" s="128"/>
      <c r="E94" s="128"/>
      <c r="F94" s="128"/>
      <c r="G94" s="128"/>
    </row>
    <row r="95" spans="1:7" x14ac:dyDescent="0.25">
      <c r="A95" s="126"/>
      <c r="B95" s="127"/>
      <c r="C95" s="128"/>
      <c r="D95" s="128"/>
      <c r="E95" s="128"/>
      <c r="F95" s="128"/>
      <c r="G95" s="128"/>
    </row>
    <row r="96" spans="1:7" x14ac:dyDescent="0.25">
      <c r="A96" s="126"/>
      <c r="B96" s="127"/>
      <c r="C96" s="128"/>
      <c r="D96" s="128"/>
      <c r="E96" s="128"/>
      <c r="F96" s="128"/>
      <c r="G96" s="128"/>
    </row>
    <row r="97" spans="1:7" x14ac:dyDescent="0.25">
      <c r="A97" s="126"/>
      <c r="B97" s="127"/>
      <c r="C97" s="128"/>
      <c r="D97" s="128"/>
      <c r="E97" s="128"/>
      <c r="F97" s="128"/>
      <c r="G97" s="128"/>
    </row>
    <row r="98" spans="1:7" x14ac:dyDescent="0.25">
      <c r="A98" s="126"/>
      <c r="B98" s="127"/>
      <c r="C98" s="128"/>
      <c r="D98" s="128"/>
      <c r="E98" s="128"/>
      <c r="F98" s="128"/>
      <c r="G98" s="128"/>
    </row>
    <row r="99" spans="1:7" x14ac:dyDescent="0.25">
      <c r="A99" s="126"/>
      <c r="B99" s="127"/>
      <c r="C99" s="128"/>
      <c r="D99" s="128"/>
      <c r="E99" s="128"/>
      <c r="F99" s="128"/>
      <c r="G99" s="128"/>
    </row>
    <row r="100" spans="1:7" x14ac:dyDescent="0.25">
      <c r="A100" s="126"/>
      <c r="B100" s="127"/>
      <c r="C100" s="128"/>
      <c r="D100" s="128"/>
      <c r="E100" s="128"/>
      <c r="F100" s="128"/>
      <c r="G100" s="128"/>
    </row>
    <row r="101" spans="1:7" x14ac:dyDescent="0.25">
      <c r="A101" s="126"/>
      <c r="B101" s="127"/>
      <c r="C101" s="128"/>
      <c r="D101" s="128"/>
      <c r="E101" s="128"/>
      <c r="F101" s="128"/>
      <c r="G101" s="128"/>
    </row>
    <row r="102" spans="1:7" x14ac:dyDescent="0.25">
      <c r="A102" s="126"/>
      <c r="B102" s="127"/>
      <c r="C102" s="128"/>
      <c r="D102" s="128"/>
      <c r="E102" s="128"/>
      <c r="F102" s="128"/>
      <c r="G102" s="128"/>
    </row>
    <row r="103" spans="1:7" x14ac:dyDescent="0.25">
      <c r="A103" s="126"/>
      <c r="B103" s="127"/>
      <c r="C103" s="128"/>
      <c r="D103" s="128"/>
      <c r="E103" s="128"/>
      <c r="F103" s="128"/>
      <c r="G103" s="128"/>
    </row>
    <row r="104" spans="1:7" x14ac:dyDescent="0.25">
      <c r="A104" s="126"/>
      <c r="B104" s="127"/>
      <c r="C104" s="128"/>
      <c r="D104" s="128"/>
      <c r="E104" s="128"/>
      <c r="F104" s="128"/>
      <c r="G104" s="128"/>
    </row>
    <row r="105" spans="1:7" x14ac:dyDescent="0.25">
      <c r="A105" s="126"/>
      <c r="B105" s="127"/>
      <c r="C105" s="128"/>
      <c r="D105" s="128"/>
      <c r="E105" s="128"/>
      <c r="F105" s="128"/>
      <c r="G105" s="128"/>
    </row>
    <row r="106" spans="1:7" x14ac:dyDescent="0.25">
      <c r="A106" s="126"/>
      <c r="B106" s="127"/>
      <c r="C106" s="128"/>
      <c r="D106" s="128"/>
      <c r="E106" s="128"/>
      <c r="F106" s="128"/>
      <c r="G106" s="128"/>
    </row>
    <row r="107" spans="1:7" x14ac:dyDescent="0.25">
      <c r="A107" s="126"/>
      <c r="B107" s="127"/>
      <c r="C107" s="128"/>
      <c r="D107" s="128"/>
      <c r="E107" s="128"/>
      <c r="F107" s="128"/>
      <c r="G107" s="128"/>
    </row>
    <row r="108" spans="1:7" x14ac:dyDescent="0.25">
      <c r="A108" s="126"/>
      <c r="B108" s="127"/>
      <c r="C108" s="128"/>
      <c r="D108" s="128"/>
      <c r="E108" s="128"/>
      <c r="F108" s="128"/>
      <c r="G108" s="128"/>
    </row>
    <row r="109" spans="1:7" x14ac:dyDescent="0.25">
      <c r="A109" s="126"/>
      <c r="B109" s="127"/>
      <c r="C109" s="128"/>
      <c r="D109" s="128"/>
      <c r="E109" s="128"/>
      <c r="F109" s="128"/>
      <c r="G109" s="128"/>
    </row>
    <row r="110" spans="1:7" x14ac:dyDescent="0.25">
      <c r="A110" s="126"/>
      <c r="B110" s="127"/>
      <c r="C110" s="128"/>
      <c r="D110" s="128"/>
      <c r="E110" s="128"/>
      <c r="F110" s="128"/>
      <c r="G110" s="128"/>
    </row>
    <row r="111" spans="1:7" x14ac:dyDescent="0.25">
      <c r="A111" s="126"/>
      <c r="B111" s="127"/>
      <c r="C111" s="128"/>
      <c r="D111" s="128"/>
      <c r="E111" s="128"/>
      <c r="F111" s="128"/>
      <c r="G111" s="128"/>
    </row>
    <row r="112" spans="1:7" x14ac:dyDescent="0.25">
      <c r="A112" s="126"/>
      <c r="B112" s="127"/>
      <c r="C112" s="128"/>
      <c r="D112" s="128"/>
      <c r="E112" s="128"/>
      <c r="F112" s="128"/>
      <c r="G112" s="128"/>
    </row>
    <row r="113" spans="1:7" x14ac:dyDescent="0.25">
      <c r="A113" s="126"/>
      <c r="B113" s="127"/>
      <c r="C113" s="128"/>
      <c r="D113" s="128"/>
      <c r="E113" s="128"/>
      <c r="F113" s="128"/>
      <c r="G113" s="128"/>
    </row>
    <row r="114" spans="1:7" x14ac:dyDescent="0.25">
      <c r="A114" s="126"/>
      <c r="B114" s="127"/>
      <c r="C114" s="128"/>
      <c r="D114" s="128"/>
      <c r="E114" s="128"/>
      <c r="F114" s="128"/>
      <c r="G114" s="128"/>
    </row>
    <row r="115" spans="1:7" x14ac:dyDescent="0.25">
      <c r="A115" s="126"/>
      <c r="B115" s="127"/>
      <c r="C115" s="128"/>
      <c r="D115" s="128"/>
      <c r="E115" s="128"/>
      <c r="F115" s="128"/>
      <c r="G115" s="128"/>
    </row>
    <row r="116" spans="1:7" x14ac:dyDescent="0.25">
      <c r="A116" s="126"/>
      <c r="B116" s="127"/>
      <c r="C116" s="128"/>
      <c r="D116" s="128"/>
      <c r="E116" s="128"/>
      <c r="F116" s="128"/>
      <c r="G116" s="128"/>
    </row>
    <row r="117" spans="1:7" x14ac:dyDescent="0.25">
      <c r="A117" s="126"/>
      <c r="B117" s="127"/>
      <c r="C117" s="128"/>
      <c r="D117" s="128"/>
      <c r="E117" s="128"/>
      <c r="F117" s="128"/>
      <c r="G117" s="128"/>
    </row>
    <row r="118" spans="1:7" x14ac:dyDescent="0.25">
      <c r="A118" s="126"/>
      <c r="B118" s="127"/>
      <c r="C118" s="128"/>
      <c r="D118" s="128"/>
      <c r="E118" s="128"/>
      <c r="F118" s="128"/>
      <c r="G118" s="128"/>
    </row>
    <row r="119" spans="1:7" x14ac:dyDescent="0.25">
      <c r="A119" s="126"/>
      <c r="B119" s="127"/>
      <c r="C119" s="128"/>
      <c r="D119" s="128"/>
      <c r="E119" s="128"/>
      <c r="F119" s="128"/>
      <c r="G119" s="128"/>
    </row>
    <row r="120" spans="1:7" x14ac:dyDescent="0.25">
      <c r="A120" s="126"/>
      <c r="B120" s="127"/>
      <c r="C120" s="128"/>
      <c r="D120" s="128"/>
      <c r="E120" s="128"/>
      <c r="F120" s="128"/>
      <c r="G120" s="128"/>
    </row>
    <row r="121" spans="1:7" x14ac:dyDescent="0.25">
      <c r="A121" s="126"/>
      <c r="B121" s="127"/>
      <c r="C121" s="128"/>
      <c r="D121" s="128"/>
      <c r="E121" s="128"/>
      <c r="F121" s="128"/>
      <c r="G121" s="128"/>
    </row>
    <row r="122" spans="1:7" x14ac:dyDescent="0.25">
      <c r="A122" s="126"/>
      <c r="B122" s="127"/>
      <c r="C122" s="128"/>
      <c r="D122" s="128"/>
      <c r="E122" s="128"/>
      <c r="F122" s="128"/>
      <c r="G122" s="128"/>
    </row>
    <row r="123" spans="1:7" x14ac:dyDescent="0.25">
      <c r="A123" s="126"/>
      <c r="B123" s="127"/>
      <c r="C123" s="128"/>
      <c r="D123" s="128"/>
      <c r="E123" s="128"/>
      <c r="F123" s="128"/>
      <c r="G123" s="128"/>
    </row>
    <row r="124" spans="1:7" x14ac:dyDescent="0.25">
      <c r="A124" s="126"/>
      <c r="B124" s="127"/>
      <c r="C124" s="128"/>
      <c r="D124" s="128"/>
      <c r="E124" s="128"/>
      <c r="F124" s="128"/>
      <c r="G124" s="128"/>
    </row>
    <row r="125" spans="1:7" x14ac:dyDescent="0.25">
      <c r="A125" s="126"/>
      <c r="B125" s="127"/>
      <c r="C125" s="128"/>
      <c r="D125" s="128"/>
      <c r="E125" s="128"/>
      <c r="F125" s="128"/>
      <c r="G125" s="128"/>
    </row>
    <row r="126" spans="1:7" x14ac:dyDescent="0.25">
      <c r="A126" s="126"/>
      <c r="B126" s="127"/>
      <c r="C126" s="128"/>
      <c r="D126" s="128"/>
      <c r="E126" s="128"/>
      <c r="F126" s="128"/>
      <c r="G126" s="128"/>
    </row>
    <row r="127" spans="1:7" x14ac:dyDescent="0.25">
      <c r="A127" s="126"/>
      <c r="B127" s="127"/>
      <c r="C127" s="128"/>
      <c r="D127" s="128"/>
      <c r="E127" s="128"/>
      <c r="F127" s="128"/>
      <c r="G127" s="128"/>
    </row>
    <row r="128" spans="1:7" x14ac:dyDescent="0.25">
      <c r="A128" s="126"/>
      <c r="B128" s="127"/>
      <c r="C128" s="128"/>
      <c r="D128" s="128"/>
      <c r="E128" s="128"/>
      <c r="F128" s="128"/>
      <c r="G128" s="128"/>
    </row>
    <row r="129" spans="1:7" x14ac:dyDescent="0.25">
      <c r="A129" s="126"/>
      <c r="B129" s="127"/>
      <c r="C129" s="128"/>
      <c r="D129" s="128"/>
      <c r="E129" s="128"/>
      <c r="F129" s="128"/>
      <c r="G129" s="128"/>
    </row>
    <row r="130" spans="1:7" x14ac:dyDescent="0.25">
      <c r="A130" s="126"/>
      <c r="B130" s="127"/>
      <c r="C130" s="128"/>
      <c r="D130" s="128"/>
      <c r="E130" s="128"/>
      <c r="F130" s="128"/>
      <c r="G130" s="128"/>
    </row>
    <row r="131" spans="1:7" x14ac:dyDescent="0.25">
      <c r="A131" s="126"/>
      <c r="B131" s="127"/>
      <c r="C131" s="128"/>
      <c r="D131" s="128"/>
      <c r="E131" s="128"/>
      <c r="F131" s="128"/>
      <c r="G131" s="128"/>
    </row>
    <row r="132" spans="1:7" x14ac:dyDescent="0.25">
      <c r="A132" s="126"/>
      <c r="B132" s="127"/>
      <c r="C132" s="128"/>
      <c r="D132" s="128"/>
      <c r="E132" s="128"/>
      <c r="F132" s="128"/>
      <c r="G132" s="128"/>
    </row>
    <row r="133" spans="1:7" x14ac:dyDescent="0.25">
      <c r="A133" s="126"/>
      <c r="B133" s="127"/>
      <c r="C133" s="128"/>
      <c r="D133" s="128"/>
      <c r="E133" s="128"/>
      <c r="F133" s="128"/>
      <c r="G133" s="128"/>
    </row>
    <row r="134" spans="1:7" x14ac:dyDescent="0.25">
      <c r="A134" s="126"/>
      <c r="B134" s="127"/>
      <c r="C134" s="128"/>
      <c r="D134" s="128"/>
      <c r="E134" s="128"/>
      <c r="F134" s="128"/>
      <c r="G134" s="128"/>
    </row>
    <row r="135" spans="1:7" x14ac:dyDescent="0.25">
      <c r="A135" s="126"/>
      <c r="B135" s="127"/>
      <c r="C135" s="128"/>
      <c r="D135" s="128"/>
      <c r="E135" s="128"/>
      <c r="F135" s="128"/>
      <c r="G135" s="128"/>
    </row>
    <row r="136" spans="1:7" x14ac:dyDescent="0.25">
      <c r="A136" s="126"/>
      <c r="B136" s="127"/>
      <c r="C136" s="128"/>
      <c r="D136" s="128"/>
      <c r="E136" s="128"/>
      <c r="F136" s="128"/>
      <c r="G136" s="128"/>
    </row>
    <row r="137" spans="1:7" x14ac:dyDescent="0.25">
      <c r="A137" s="126"/>
      <c r="B137" s="127"/>
      <c r="C137" s="128"/>
      <c r="D137" s="128"/>
      <c r="E137" s="128"/>
      <c r="F137" s="128"/>
      <c r="G137" s="128"/>
    </row>
    <row r="138" spans="1:7" x14ac:dyDescent="0.25">
      <c r="A138" s="126"/>
      <c r="B138" s="127"/>
      <c r="C138" s="128"/>
      <c r="D138" s="128"/>
      <c r="E138" s="128"/>
      <c r="F138" s="128"/>
      <c r="G138" s="128"/>
    </row>
    <row r="139" spans="1:7" x14ac:dyDescent="0.25">
      <c r="A139" s="126"/>
      <c r="B139" s="127"/>
      <c r="C139" s="128"/>
      <c r="D139" s="128"/>
      <c r="E139" s="128"/>
      <c r="F139" s="128"/>
      <c r="G139" s="128"/>
    </row>
    <row r="140" spans="1:7" x14ac:dyDescent="0.25">
      <c r="A140" s="126"/>
      <c r="B140" s="127"/>
      <c r="C140" s="128"/>
      <c r="D140" s="128"/>
      <c r="E140" s="128"/>
      <c r="F140" s="128"/>
      <c r="G140" s="128"/>
    </row>
    <row r="141" spans="1:7" x14ac:dyDescent="0.25">
      <c r="A141" s="126"/>
      <c r="B141" s="127"/>
      <c r="C141" s="128"/>
      <c r="D141" s="128"/>
      <c r="E141" s="128"/>
      <c r="F141" s="128"/>
      <c r="G141" s="128"/>
    </row>
    <row r="142" spans="1:7" x14ac:dyDescent="0.25">
      <c r="A142" s="126"/>
      <c r="B142" s="127"/>
      <c r="C142" s="128"/>
      <c r="D142" s="128"/>
      <c r="E142" s="128"/>
      <c r="F142" s="128"/>
      <c r="G142" s="128"/>
    </row>
    <row r="143" spans="1:7" x14ac:dyDescent="0.25">
      <c r="A143" s="126"/>
      <c r="B143" s="127"/>
      <c r="C143" s="128"/>
      <c r="D143" s="128"/>
      <c r="E143" s="128"/>
      <c r="F143" s="128"/>
      <c r="G143" s="128"/>
    </row>
    <row r="144" spans="1:7" x14ac:dyDescent="0.25">
      <c r="A144" s="126"/>
      <c r="B144" s="127"/>
      <c r="C144" s="128"/>
      <c r="D144" s="128"/>
      <c r="E144" s="128"/>
      <c r="F144" s="128"/>
      <c r="G144" s="128"/>
    </row>
    <row r="145" spans="1:7" x14ac:dyDescent="0.25">
      <c r="A145" s="126"/>
      <c r="B145" s="127"/>
      <c r="C145" s="128"/>
      <c r="D145" s="128"/>
      <c r="E145" s="128"/>
      <c r="F145" s="128"/>
      <c r="G145" s="128"/>
    </row>
    <row r="146" spans="1:7" x14ac:dyDescent="0.25">
      <c r="A146" s="126"/>
      <c r="B146" s="127"/>
      <c r="C146" s="128"/>
      <c r="D146" s="128"/>
      <c r="E146" s="128"/>
      <c r="F146" s="128"/>
      <c r="G146" s="128"/>
    </row>
    <row r="147" spans="1:7" x14ac:dyDescent="0.25">
      <c r="A147" s="126"/>
      <c r="B147" s="127"/>
      <c r="C147" s="128"/>
      <c r="D147" s="128"/>
      <c r="E147" s="128"/>
      <c r="F147" s="128"/>
      <c r="G147" s="128"/>
    </row>
    <row r="148" spans="1:7" x14ac:dyDescent="0.25">
      <c r="A148" s="126"/>
      <c r="B148" s="127"/>
      <c r="C148" s="128"/>
      <c r="D148" s="128"/>
      <c r="E148" s="128"/>
      <c r="F148" s="128"/>
      <c r="G148" s="128"/>
    </row>
    <row r="149" spans="1:7" x14ac:dyDescent="0.25">
      <c r="A149" s="126"/>
      <c r="B149" s="127"/>
      <c r="C149" s="128"/>
      <c r="D149" s="128"/>
      <c r="E149" s="128"/>
      <c r="F149" s="128"/>
      <c r="G149" s="128"/>
    </row>
    <row r="150" spans="1:7" x14ac:dyDescent="0.25">
      <c r="A150" s="126"/>
      <c r="B150" s="127"/>
      <c r="C150" s="128"/>
      <c r="D150" s="128"/>
      <c r="E150" s="128"/>
      <c r="F150" s="128"/>
      <c r="G150" s="128"/>
    </row>
    <row r="151" spans="1:7" x14ac:dyDescent="0.25">
      <c r="A151" s="126"/>
      <c r="B151" s="127"/>
      <c r="C151" s="128"/>
      <c r="D151" s="128"/>
      <c r="E151" s="128"/>
      <c r="F151" s="128"/>
      <c r="G151" s="128"/>
    </row>
    <row r="152" spans="1:7" x14ac:dyDescent="0.25">
      <c r="A152" s="126"/>
      <c r="B152" s="127"/>
      <c r="C152" s="128"/>
      <c r="D152" s="128"/>
      <c r="E152" s="128"/>
      <c r="F152" s="128"/>
      <c r="G152" s="128"/>
    </row>
    <row r="153" spans="1:7" x14ac:dyDescent="0.25">
      <c r="A153" s="126"/>
      <c r="B153" s="127"/>
      <c r="C153" s="128"/>
      <c r="D153" s="128"/>
      <c r="E153" s="128"/>
      <c r="F153" s="128"/>
      <c r="G153" s="128"/>
    </row>
    <row r="154" spans="1:7" x14ac:dyDescent="0.25">
      <c r="A154" s="126"/>
      <c r="B154" s="127"/>
      <c r="C154" s="128"/>
      <c r="D154" s="128"/>
      <c r="E154" s="128"/>
      <c r="F154" s="128"/>
      <c r="G154" s="128"/>
    </row>
    <row r="155" spans="1:7" x14ac:dyDescent="0.25">
      <c r="A155" s="126"/>
      <c r="B155" s="127"/>
      <c r="C155" s="128"/>
      <c r="D155" s="128"/>
      <c r="E155" s="128"/>
      <c r="F155" s="128"/>
      <c r="G155" s="128"/>
    </row>
    <row r="156" spans="1:7" x14ac:dyDescent="0.25">
      <c r="A156" s="126"/>
      <c r="B156" s="127"/>
      <c r="C156" s="128"/>
      <c r="D156" s="128"/>
      <c r="E156" s="128"/>
      <c r="F156" s="128"/>
      <c r="G156" s="128"/>
    </row>
    <row r="157" spans="1:7" x14ac:dyDescent="0.25">
      <c r="A157" s="126"/>
      <c r="B157" s="127"/>
      <c r="C157" s="128"/>
      <c r="D157" s="128"/>
      <c r="E157" s="128"/>
      <c r="F157" s="128"/>
      <c r="G157" s="128"/>
    </row>
    <row r="158" spans="1:7" x14ac:dyDescent="0.25">
      <c r="A158" s="126"/>
      <c r="B158" s="127"/>
      <c r="C158" s="128"/>
      <c r="D158" s="128"/>
      <c r="E158" s="128"/>
      <c r="F158" s="128"/>
      <c r="G158" s="128"/>
    </row>
    <row r="159" spans="1:7" x14ac:dyDescent="0.25">
      <c r="A159" s="126"/>
      <c r="B159" s="127"/>
      <c r="C159" s="128"/>
      <c r="D159" s="128"/>
      <c r="E159" s="128"/>
      <c r="F159" s="128"/>
      <c r="G159" s="128"/>
    </row>
    <row r="160" spans="1:7" x14ac:dyDescent="0.25">
      <c r="A160" s="126"/>
      <c r="B160" s="127"/>
      <c r="C160" s="128"/>
      <c r="D160" s="128"/>
      <c r="E160" s="128"/>
      <c r="F160" s="128"/>
      <c r="G160" s="128"/>
    </row>
    <row r="161" spans="1:7" x14ac:dyDescent="0.25">
      <c r="A161" s="126"/>
      <c r="B161" s="127"/>
      <c r="C161" s="128"/>
      <c r="D161" s="128"/>
      <c r="E161" s="128"/>
      <c r="F161" s="128"/>
      <c r="G161" s="128"/>
    </row>
    <row r="162" spans="1:7" x14ac:dyDescent="0.25">
      <c r="A162" s="126"/>
      <c r="B162" s="127"/>
      <c r="C162" s="128"/>
      <c r="D162" s="128"/>
      <c r="E162" s="128"/>
      <c r="F162" s="128"/>
      <c r="G162" s="128"/>
    </row>
    <row r="163" spans="1:7" x14ac:dyDescent="0.25">
      <c r="A163" s="126"/>
      <c r="B163" s="127"/>
      <c r="C163" s="128"/>
      <c r="D163" s="128"/>
      <c r="E163" s="128"/>
      <c r="F163" s="128"/>
      <c r="G163" s="128"/>
    </row>
    <row r="164" spans="1:7" x14ac:dyDescent="0.25">
      <c r="A164" s="126"/>
      <c r="B164" s="127"/>
      <c r="C164" s="128"/>
      <c r="D164" s="128"/>
      <c r="E164" s="128"/>
      <c r="F164" s="128"/>
      <c r="G164" s="128"/>
    </row>
    <row r="165" spans="1:7" x14ac:dyDescent="0.25">
      <c r="A165" s="126"/>
      <c r="B165" s="127"/>
      <c r="C165" s="128"/>
      <c r="D165" s="128"/>
      <c r="E165" s="128"/>
      <c r="F165" s="128"/>
      <c r="G165" s="128"/>
    </row>
    <row r="166" spans="1:7" x14ac:dyDescent="0.25">
      <c r="A166" s="126"/>
      <c r="B166" s="127"/>
      <c r="C166" s="128"/>
      <c r="D166" s="128"/>
      <c r="E166" s="128"/>
      <c r="F166" s="128"/>
      <c r="G166" s="128"/>
    </row>
    <row r="167" spans="1:7" x14ac:dyDescent="0.25">
      <c r="A167" s="126"/>
      <c r="B167" s="127"/>
      <c r="C167" s="128"/>
      <c r="D167" s="128"/>
      <c r="E167" s="128"/>
      <c r="F167" s="128"/>
      <c r="G167" s="128"/>
    </row>
    <row r="168" spans="1:7" x14ac:dyDescent="0.25">
      <c r="A168" s="126"/>
      <c r="B168" s="127"/>
      <c r="C168" s="128"/>
      <c r="D168" s="128"/>
      <c r="E168" s="128"/>
      <c r="F168" s="128"/>
      <c r="G168" s="128"/>
    </row>
    <row r="169" spans="1:7" x14ac:dyDescent="0.25">
      <c r="A169" s="126"/>
      <c r="B169" s="127"/>
      <c r="C169" s="128"/>
      <c r="D169" s="128"/>
      <c r="E169" s="128"/>
      <c r="F169" s="128"/>
      <c r="G169" s="128"/>
    </row>
    <row r="170" spans="1:7" x14ac:dyDescent="0.25">
      <c r="A170" s="126"/>
      <c r="B170" s="127"/>
      <c r="C170" s="128"/>
      <c r="D170" s="128"/>
      <c r="E170" s="128"/>
      <c r="F170" s="128"/>
      <c r="G170" s="128"/>
    </row>
    <row r="171" spans="1:7" x14ac:dyDescent="0.25">
      <c r="A171" s="126"/>
      <c r="B171" s="127"/>
      <c r="C171" s="128"/>
      <c r="D171" s="128"/>
      <c r="E171" s="128"/>
      <c r="F171" s="128"/>
      <c r="G171" s="128"/>
    </row>
    <row r="172" spans="1:7" x14ac:dyDescent="0.25">
      <c r="A172" s="126"/>
      <c r="B172" s="127"/>
      <c r="C172" s="128"/>
      <c r="D172" s="128"/>
      <c r="E172" s="128"/>
      <c r="F172" s="128"/>
      <c r="G172" s="128"/>
    </row>
    <row r="173" spans="1:7" x14ac:dyDescent="0.25">
      <c r="A173" s="126"/>
      <c r="B173" s="127"/>
      <c r="C173" s="128"/>
      <c r="D173" s="128"/>
      <c r="E173" s="128"/>
      <c r="F173" s="128"/>
      <c r="G173" s="128"/>
    </row>
    <row r="174" spans="1:7" x14ac:dyDescent="0.25">
      <c r="A174" s="126"/>
      <c r="B174" s="127"/>
      <c r="C174" s="128"/>
      <c r="D174" s="128"/>
      <c r="E174" s="128"/>
      <c r="F174" s="128"/>
      <c r="G174" s="128"/>
    </row>
    <row r="175" spans="1:7" x14ac:dyDescent="0.25">
      <c r="A175" s="126"/>
      <c r="B175" s="127"/>
      <c r="C175" s="128"/>
      <c r="D175" s="128"/>
      <c r="E175" s="128"/>
      <c r="F175" s="128"/>
      <c r="G175" s="128"/>
    </row>
    <row r="176" spans="1:7" x14ac:dyDescent="0.25">
      <c r="A176" s="126"/>
      <c r="B176" s="127"/>
      <c r="C176" s="128"/>
      <c r="D176" s="128"/>
      <c r="E176" s="128"/>
      <c r="F176" s="128"/>
      <c r="G176" s="128"/>
    </row>
    <row r="177" spans="1:7" x14ac:dyDescent="0.25">
      <c r="A177" s="126"/>
      <c r="B177" s="127"/>
      <c r="C177" s="128"/>
      <c r="D177" s="128"/>
      <c r="E177" s="128"/>
      <c r="F177" s="128"/>
      <c r="G177" s="128"/>
    </row>
    <row r="178" spans="1:7" x14ac:dyDescent="0.25">
      <c r="A178" s="126"/>
      <c r="B178" s="127"/>
      <c r="C178" s="128"/>
      <c r="D178" s="128"/>
      <c r="E178" s="128"/>
      <c r="F178" s="128"/>
      <c r="G178" s="128"/>
    </row>
    <row r="179" spans="1:7" x14ac:dyDescent="0.25">
      <c r="A179" s="126"/>
      <c r="B179" s="127"/>
      <c r="C179" s="128"/>
      <c r="D179" s="128"/>
      <c r="E179" s="128"/>
      <c r="F179" s="128"/>
      <c r="G179" s="128"/>
    </row>
    <row r="180" spans="1:7" x14ac:dyDescent="0.25">
      <c r="A180" s="126"/>
      <c r="B180" s="127"/>
      <c r="C180" s="128"/>
      <c r="D180" s="128"/>
      <c r="E180" s="128"/>
      <c r="F180" s="128"/>
      <c r="G180" s="128"/>
    </row>
    <row r="181" spans="1:7" x14ac:dyDescent="0.25">
      <c r="A181" s="126"/>
      <c r="B181" s="127"/>
      <c r="C181" s="128"/>
      <c r="D181" s="128"/>
      <c r="E181" s="128"/>
      <c r="F181" s="128"/>
      <c r="G181" s="128"/>
    </row>
    <row r="182" spans="1:7" x14ac:dyDescent="0.25">
      <c r="A182" s="126"/>
      <c r="B182" s="127"/>
      <c r="C182" s="128"/>
      <c r="D182" s="128"/>
      <c r="E182" s="128"/>
      <c r="F182" s="128"/>
      <c r="G182" s="128"/>
    </row>
    <row r="183" spans="1:7" x14ac:dyDescent="0.25">
      <c r="A183" s="126"/>
      <c r="B183" s="127"/>
      <c r="C183" s="128"/>
      <c r="D183" s="128"/>
      <c r="E183" s="128"/>
      <c r="F183" s="128"/>
      <c r="G183" s="128"/>
    </row>
    <row r="184" spans="1:7" x14ac:dyDescent="0.25">
      <c r="A184" s="126"/>
      <c r="B184" s="127"/>
      <c r="C184" s="128"/>
      <c r="D184" s="128"/>
      <c r="E184" s="128"/>
      <c r="F184" s="128"/>
      <c r="G184" s="128"/>
    </row>
    <row r="185" spans="1:7" x14ac:dyDescent="0.25">
      <c r="A185" s="126"/>
      <c r="B185" s="127"/>
      <c r="C185" s="128"/>
      <c r="D185" s="128"/>
      <c r="E185" s="128"/>
      <c r="F185" s="128"/>
      <c r="G185" s="128"/>
    </row>
    <row r="186" spans="1:7" x14ac:dyDescent="0.25">
      <c r="A186" s="126"/>
      <c r="B186" s="127"/>
      <c r="C186" s="128"/>
      <c r="D186" s="128"/>
      <c r="E186" s="128"/>
      <c r="F186" s="128"/>
      <c r="G186" s="128"/>
    </row>
    <row r="187" spans="1:7" x14ac:dyDescent="0.25">
      <c r="A187" s="126"/>
      <c r="B187" s="127"/>
      <c r="C187" s="128"/>
      <c r="D187" s="128"/>
      <c r="E187" s="128"/>
      <c r="F187" s="128"/>
      <c r="G187" s="128"/>
    </row>
    <row r="188" spans="1:7" x14ac:dyDescent="0.25">
      <c r="A188" s="126"/>
      <c r="B188" s="127"/>
      <c r="C188" s="128"/>
      <c r="D188" s="128"/>
      <c r="E188" s="128"/>
      <c r="F188" s="128"/>
      <c r="G188" s="128"/>
    </row>
    <row r="189" spans="1:7" x14ac:dyDescent="0.25">
      <c r="A189" s="126"/>
      <c r="B189" s="127"/>
      <c r="C189" s="128"/>
      <c r="D189" s="128"/>
      <c r="E189" s="128"/>
      <c r="F189" s="128"/>
      <c r="G189" s="128"/>
    </row>
    <row r="190" spans="1:7" x14ac:dyDescent="0.25">
      <c r="A190" s="126"/>
      <c r="B190" s="127"/>
      <c r="C190" s="128"/>
      <c r="D190" s="128"/>
      <c r="E190" s="128"/>
      <c r="F190" s="128"/>
      <c r="G190" s="128"/>
    </row>
    <row r="191" spans="1:7" x14ac:dyDescent="0.25">
      <c r="A191" s="126"/>
      <c r="B191" s="127"/>
      <c r="C191" s="128"/>
      <c r="D191" s="128"/>
      <c r="E191" s="128"/>
      <c r="F191" s="128"/>
      <c r="G191" s="128"/>
    </row>
    <row r="192" spans="1:7" x14ac:dyDescent="0.25">
      <c r="A192" s="128"/>
      <c r="B192" s="127"/>
      <c r="C192" s="128"/>
      <c r="D192" s="128"/>
      <c r="E192" s="128"/>
      <c r="F192" s="128"/>
      <c r="G192" s="128"/>
    </row>
    <row r="193" spans="1:7" x14ac:dyDescent="0.25">
      <c r="A193" s="128"/>
      <c r="B193" s="127"/>
      <c r="C193" s="128"/>
      <c r="D193" s="128"/>
      <c r="E193" s="128"/>
      <c r="F193" s="128"/>
      <c r="G193" s="128"/>
    </row>
    <row r="194" spans="1:7" x14ac:dyDescent="0.25">
      <c r="A194" s="128"/>
      <c r="B194" s="127"/>
      <c r="C194" s="128"/>
      <c r="D194" s="128"/>
      <c r="E194" s="128"/>
      <c r="F194" s="128"/>
      <c r="G194" s="128"/>
    </row>
    <row r="195" spans="1:7" x14ac:dyDescent="0.25">
      <c r="A195" s="128"/>
      <c r="B195" s="127"/>
      <c r="C195" s="128"/>
      <c r="D195" s="128"/>
      <c r="E195" s="128"/>
      <c r="F195" s="128"/>
      <c r="G195" s="128"/>
    </row>
    <row r="196" spans="1:7" x14ac:dyDescent="0.25">
      <c r="A196" s="128"/>
      <c r="B196" s="127"/>
      <c r="C196" s="128"/>
      <c r="D196" s="128"/>
      <c r="E196" s="128"/>
      <c r="F196" s="128"/>
      <c r="G196" s="128"/>
    </row>
    <row r="197" spans="1:7" x14ac:dyDescent="0.25">
      <c r="A197" s="128"/>
      <c r="B197" s="127"/>
      <c r="C197" s="128"/>
      <c r="D197" s="128"/>
      <c r="E197" s="128"/>
      <c r="F197" s="128"/>
      <c r="G197" s="128"/>
    </row>
    <row r="198" spans="1:7" x14ac:dyDescent="0.25">
      <c r="A198" s="128"/>
      <c r="B198" s="127"/>
      <c r="C198" s="128"/>
      <c r="D198" s="128"/>
      <c r="E198" s="128"/>
      <c r="F198" s="128"/>
      <c r="G198" s="128"/>
    </row>
    <row r="199" spans="1:7" x14ac:dyDescent="0.25">
      <c r="A199" s="128"/>
      <c r="B199" s="127"/>
      <c r="C199" s="128"/>
      <c r="D199" s="128"/>
      <c r="E199" s="128"/>
      <c r="F199" s="128"/>
      <c r="G199" s="128"/>
    </row>
    <row r="200" spans="1:7" x14ac:dyDescent="0.25">
      <c r="A200" s="128"/>
      <c r="B200" s="127"/>
      <c r="C200" s="128"/>
      <c r="D200" s="128"/>
      <c r="E200" s="128"/>
      <c r="F200" s="128"/>
      <c r="G200" s="128"/>
    </row>
    <row r="201" spans="1:7" x14ac:dyDescent="0.25">
      <c r="A201" s="128"/>
      <c r="B201" s="127"/>
      <c r="C201" s="128"/>
      <c r="D201" s="128"/>
      <c r="E201" s="128"/>
      <c r="F201" s="128"/>
      <c r="G201" s="128"/>
    </row>
    <row r="202" spans="1:7" x14ac:dyDescent="0.25">
      <c r="A202" s="128"/>
      <c r="B202" s="127"/>
      <c r="C202" s="128"/>
      <c r="D202" s="128"/>
      <c r="E202" s="128"/>
      <c r="F202" s="128"/>
      <c r="G202" s="128"/>
    </row>
    <row r="203" spans="1:7" x14ac:dyDescent="0.25">
      <c r="A203" s="128"/>
      <c r="B203" s="127"/>
      <c r="C203" s="128"/>
      <c r="D203" s="128"/>
      <c r="E203" s="128"/>
      <c r="F203" s="128"/>
      <c r="G203" s="128"/>
    </row>
    <row r="204" spans="1:7" x14ac:dyDescent="0.25">
      <c r="A204" s="128"/>
      <c r="B204" s="127"/>
      <c r="C204" s="128"/>
      <c r="D204" s="128"/>
      <c r="E204" s="128"/>
      <c r="F204" s="128"/>
      <c r="G204" s="128"/>
    </row>
    <row r="205" spans="1:7" x14ac:dyDescent="0.25">
      <c r="A205" s="128"/>
      <c r="B205" s="127"/>
      <c r="C205" s="128"/>
      <c r="D205" s="128"/>
      <c r="E205" s="128"/>
      <c r="F205" s="128"/>
      <c r="G205" s="128"/>
    </row>
    <row r="206" spans="1:7" x14ac:dyDescent="0.25">
      <c r="A206" s="128"/>
      <c r="B206" s="127"/>
      <c r="C206" s="128"/>
      <c r="D206" s="128"/>
      <c r="E206" s="128"/>
      <c r="F206" s="128"/>
      <c r="G206" s="128"/>
    </row>
    <row r="207" spans="1:7" x14ac:dyDescent="0.25">
      <c r="A207" s="128"/>
      <c r="B207" s="127"/>
      <c r="C207" s="128"/>
      <c r="D207" s="128"/>
      <c r="E207" s="128"/>
      <c r="F207" s="128"/>
      <c r="G207" s="128"/>
    </row>
    <row r="208" spans="1:7" x14ac:dyDescent="0.25">
      <c r="A208" s="128"/>
      <c r="B208" s="127"/>
      <c r="C208" s="128"/>
      <c r="D208" s="128"/>
      <c r="E208" s="128"/>
      <c r="F208" s="128"/>
      <c r="G208" s="128"/>
    </row>
    <row r="209" spans="1:7" x14ac:dyDescent="0.25">
      <c r="A209" s="128"/>
      <c r="B209" s="127"/>
      <c r="C209" s="128"/>
      <c r="D209" s="128"/>
      <c r="E209" s="128"/>
      <c r="F209" s="128"/>
      <c r="G209" s="128"/>
    </row>
    <row r="210" spans="1:7" x14ac:dyDescent="0.25">
      <c r="A210" s="128"/>
      <c r="B210" s="127"/>
      <c r="C210" s="128"/>
      <c r="D210" s="128"/>
      <c r="E210" s="128"/>
      <c r="F210" s="128"/>
      <c r="G210" s="128"/>
    </row>
    <row r="211" spans="1:7" x14ac:dyDescent="0.25">
      <c r="A211" s="128"/>
      <c r="B211" s="127"/>
      <c r="C211" s="128"/>
      <c r="D211" s="128"/>
      <c r="E211" s="128"/>
      <c r="F211" s="128"/>
      <c r="G211" s="128"/>
    </row>
    <row r="212" spans="1:7" x14ac:dyDescent="0.25">
      <c r="A212" s="128"/>
      <c r="B212" s="127"/>
      <c r="C212" s="128"/>
      <c r="D212" s="128"/>
      <c r="E212" s="128"/>
      <c r="F212" s="128"/>
      <c r="G212" s="128"/>
    </row>
    <row r="213" spans="1:7" x14ac:dyDescent="0.25">
      <c r="A213" s="128"/>
      <c r="B213" s="127"/>
      <c r="C213" s="128"/>
      <c r="D213" s="128"/>
      <c r="E213" s="128"/>
      <c r="F213" s="128"/>
      <c r="G213" s="128"/>
    </row>
    <row r="214" spans="1:7" x14ac:dyDescent="0.25">
      <c r="A214" s="128"/>
      <c r="B214" s="127"/>
      <c r="C214" s="128"/>
      <c r="D214" s="128"/>
      <c r="E214" s="128"/>
      <c r="F214" s="128"/>
      <c r="G214" s="128"/>
    </row>
    <row r="215" spans="1:7" x14ac:dyDescent="0.25">
      <c r="A215" s="128"/>
      <c r="B215" s="127"/>
      <c r="C215" s="128"/>
      <c r="D215" s="128"/>
      <c r="E215" s="128"/>
      <c r="F215" s="128"/>
      <c r="G215" s="128"/>
    </row>
    <row r="216" spans="1:7" x14ac:dyDescent="0.25">
      <c r="A216" s="128"/>
      <c r="B216" s="127"/>
      <c r="C216" s="128"/>
      <c r="D216" s="128"/>
      <c r="E216" s="128"/>
      <c r="F216" s="128"/>
      <c r="G216" s="128"/>
    </row>
    <row r="217" spans="1:7" x14ac:dyDescent="0.25">
      <c r="A217" s="128"/>
      <c r="B217" s="127"/>
      <c r="C217" s="128"/>
      <c r="D217" s="128"/>
      <c r="E217" s="128"/>
      <c r="F217" s="128"/>
      <c r="G217" s="128"/>
    </row>
    <row r="218" spans="1:7" x14ac:dyDescent="0.25">
      <c r="A218" s="128"/>
      <c r="B218" s="127"/>
      <c r="C218" s="128"/>
      <c r="D218" s="128"/>
      <c r="E218" s="128"/>
      <c r="F218" s="128"/>
      <c r="G218" s="128"/>
    </row>
    <row r="219" spans="1:7" x14ac:dyDescent="0.25">
      <c r="A219" s="128"/>
      <c r="B219" s="127"/>
      <c r="C219" s="128"/>
      <c r="D219" s="128"/>
      <c r="E219" s="128"/>
      <c r="F219" s="128"/>
      <c r="G219" s="128"/>
    </row>
    <row r="220" spans="1:7" x14ac:dyDescent="0.25">
      <c r="A220" s="128"/>
      <c r="B220" s="127"/>
      <c r="C220" s="128"/>
      <c r="D220" s="128"/>
      <c r="E220" s="128"/>
      <c r="F220" s="128"/>
      <c r="G220" s="128"/>
    </row>
    <row r="221" spans="1:7" x14ac:dyDescent="0.25">
      <c r="A221" s="128"/>
      <c r="B221" s="127"/>
      <c r="C221" s="128"/>
      <c r="D221" s="128"/>
      <c r="E221" s="128"/>
      <c r="F221" s="128"/>
      <c r="G221" s="128"/>
    </row>
    <row r="222" spans="1:7" x14ac:dyDescent="0.25">
      <c r="A222" s="128"/>
      <c r="B222" s="127"/>
      <c r="C222" s="128"/>
      <c r="D222" s="128"/>
      <c r="E222" s="128"/>
      <c r="F222" s="128"/>
      <c r="G222" s="128"/>
    </row>
    <row r="223" spans="1:7" x14ac:dyDescent="0.25">
      <c r="A223" s="128"/>
      <c r="B223" s="127"/>
      <c r="C223" s="128"/>
      <c r="D223" s="128"/>
      <c r="E223" s="128"/>
      <c r="F223" s="128"/>
      <c r="G223" s="128"/>
    </row>
    <row r="224" spans="1:7" x14ac:dyDescent="0.25">
      <c r="A224" s="128"/>
      <c r="B224" s="127"/>
      <c r="C224" s="128"/>
      <c r="D224" s="128"/>
      <c r="E224" s="128"/>
      <c r="F224" s="128"/>
      <c r="G224" s="128"/>
    </row>
    <row r="225" spans="1:7" x14ac:dyDescent="0.25">
      <c r="A225" s="128"/>
      <c r="B225" s="127"/>
      <c r="C225" s="128"/>
      <c r="D225" s="128"/>
      <c r="E225" s="128"/>
      <c r="F225" s="128"/>
      <c r="G225" s="128"/>
    </row>
    <row r="226" spans="1:7" x14ac:dyDescent="0.25">
      <c r="A226" s="128"/>
      <c r="B226" s="127"/>
      <c r="C226" s="128"/>
      <c r="D226" s="128"/>
      <c r="E226" s="128"/>
      <c r="F226" s="128"/>
      <c r="G226" s="128"/>
    </row>
    <row r="227" spans="1:7" x14ac:dyDescent="0.25">
      <c r="A227" s="128"/>
      <c r="B227" s="127"/>
      <c r="C227" s="128"/>
      <c r="D227" s="128"/>
      <c r="E227" s="128"/>
      <c r="F227" s="128"/>
      <c r="G227" s="128"/>
    </row>
    <row r="228" spans="1:7" x14ac:dyDescent="0.25">
      <c r="A228" s="128"/>
      <c r="B228" s="128"/>
      <c r="C228" s="128"/>
      <c r="D228" s="128"/>
      <c r="E228" s="128"/>
      <c r="F228" s="128"/>
      <c r="G228" s="128"/>
    </row>
    <row r="229" spans="1:7" x14ac:dyDescent="0.25">
      <c r="A229" s="128"/>
      <c r="B229" s="128"/>
      <c r="C229" s="128"/>
      <c r="D229" s="128"/>
      <c r="E229" s="128"/>
      <c r="F229" s="128"/>
      <c r="G229" s="128"/>
    </row>
    <row r="230" spans="1:7" x14ac:dyDescent="0.25">
      <c r="A230" s="128"/>
      <c r="B230" s="128"/>
      <c r="C230" s="128"/>
      <c r="D230" s="128"/>
      <c r="E230" s="128"/>
      <c r="F230" s="128"/>
      <c r="G230" s="128"/>
    </row>
    <row r="231" spans="1:7" x14ac:dyDescent="0.25">
      <c r="A231" s="128"/>
      <c r="B231" s="128"/>
      <c r="C231" s="128"/>
      <c r="D231" s="128"/>
      <c r="E231" s="128"/>
      <c r="F231" s="128"/>
      <c r="G231" s="128"/>
    </row>
    <row r="232" spans="1:7" x14ac:dyDescent="0.25">
      <c r="A232" s="128"/>
      <c r="B232" s="128"/>
      <c r="C232" s="128"/>
      <c r="D232" s="128"/>
      <c r="E232" s="128"/>
      <c r="F232" s="128"/>
      <c r="G232" s="128"/>
    </row>
    <row r="233" spans="1:7" x14ac:dyDescent="0.25">
      <c r="A233" s="128"/>
      <c r="B233" s="128"/>
      <c r="C233" s="128"/>
      <c r="D233" s="128"/>
      <c r="E233" s="128"/>
      <c r="F233" s="128"/>
      <c r="G233" s="128"/>
    </row>
    <row r="234" spans="1:7" x14ac:dyDescent="0.25">
      <c r="A234" s="128"/>
      <c r="B234" s="128"/>
      <c r="C234" s="128"/>
      <c r="D234" s="128"/>
      <c r="E234" s="128"/>
      <c r="F234" s="128"/>
      <c r="G234" s="128"/>
    </row>
    <row r="235" spans="1:7" x14ac:dyDescent="0.25">
      <c r="A235" s="128"/>
      <c r="B235" s="128"/>
      <c r="C235" s="128"/>
      <c r="D235" s="128"/>
      <c r="E235" s="128"/>
      <c r="F235" s="128"/>
      <c r="G235" s="128"/>
    </row>
    <row r="236" spans="1:7" x14ac:dyDescent="0.25">
      <c r="A236" s="128"/>
      <c r="B236" s="128"/>
      <c r="C236" s="128"/>
      <c r="D236" s="128"/>
      <c r="E236" s="128"/>
      <c r="F236" s="128"/>
      <c r="G236" s="128"/>
    </row>
    <row r="237" spans="1:7" x14ac:dyDescent="0.25">
      <c r="A237" s="128"/>
      <c r="B237" s="128"/>
      <c r="C237" s="128"/>
      <c r="D237" s="128"/>
      <c r="E237" s="128"/>
      <c r="F237" s="128"/>
      <c r="G237" s="128"/>
    </row>
    <row r="238" spans="1:7" x14ac:dyDescent="0.25">
      <c r="A238" s="128"/>
      <c r="B238" s="128"/>
      <c r="C238" s="128"/>
      <c r="D238" s="128"/>
      <c r="E238" s="128"/>
      <c r="F238" s="128"/>
      <c r="G238" s="128"/>
    </row>
    <row r="239" spans="1:7" x14ac:dyDescent="0.25">
      <c r="A239" s="128"/>
      <c r="B239" s="128"/>
      <c r="C239" s="128"/>
      <c r="D239" s="128"/>
      <c r="E239" s="128"/>
      <c r="F239" s="128"/>
      <c r="G239" s="128"/>
    </row>
    <row r="240" spans="1:7" x14ac:dyDescent="0.25">
      <c r="A240" s="128"/>
      <c r="B240" s="128"/>
      <c r="C240" s="128"/>
      <c r="D240" s="128"/>
      <c r="E240" s="128"/>
      <c r="F240" s="128"/>
      <c r="G240" s="128"/>
    </row>
    <row r="241" spans="1:7" x14ac:dyDescent="0.25">
      <c r="A241" s="128"/>
      <c r="B241" s="128"/>
      <c r="C241" s="128"/>
      <c r="D241" s="128"/>
      <c r="E241" s="128"/>
      <c r="F241" s="128"/>
      <c r="G241" s="128"/>
    </row>
    <row r="242" spans="1:7" x14ac:dyDescent="0.25">
      <c r="A242" s="128"/>
      <c r="B242" s="128"/>
      <c r="C242" s="128"/>
      <c r="D242" s="128"/>
      <c r="E242" s="128"/>
      <c r="F242" s="128"/>
      <c r="G242" s="128"/>
    </row>
    <row r="243" spans="1:7" x14ac:dyDescent="0.25">
      <c r="A243" s="128"/>
      <c r="B243" s="128"/>
      <c r="C243" s="128"/>
      <c r="D243" s="128"/>
      <c r="E243" s="128"/>
      <c r="F243" s="128"/>
      <c r="G243" s="128"/>
    </row>
    <row r="244" spans="1:7" x14ac:dyDescent="0.25">
      <c r="A244" s="128"/>
      <c r="B244" s="128"/>
      <c r="C244" s="128"/>
      <c r="D244" s="128"/>
      <c r="E244" s="128"/>
      <c r="F244" s="128"/>
      <c r="G244" s="128"/>
    </row>
    <row r="245" spans="1:7" x14ac:dyDescent="0.25">
      <c r="A245" s="128"/>
      <c r="B245" s="128"/>
      <c r="C245" s="128"/>
      <c r="D245" s="128"/>
      <c r="E245" s="128"/>
      <c r="F245" s="128"/>
      <c r="G245" s="128"/>
    </row>
    <row r="246" spans="1:7" x14ac:dyDescent="0.25">
      <c r="A246" s="128"/>
      <c r="B246" s="128"/>
      <c r="C246" s="128"/>
      <c r="D246" s="128"/>
      <c r="E246" s="128"/>
      <c r="F246" s="128"/>
      <c r="G246" s="128"/>
    </row>
    <row r="247" spans="1:7" x14ac:dyDescent="0.25">
      <c r="A247" s="128"/>
      <c r="B247" s="128"/>
      <c r="C247" s="128"/>
      <c r="D247" s="128"/>
      <c r="E247" s="128"/>
      <c r="F247" s="128"/>
      <c r="G247" s="128"/>
    </row>
    <row r="248" spans="1:7" x14ac:dyDescent="0.25">
      <c r="A248" s="128"/>
      <c r="B248" s="128"/>
      <c r="C248" s="128"/>
      <c r="D248" s="128"/>
      <c r="E248" s="128"/>
      <c r="F248" s="128"/>
      <c r="G248" s="128"/>
    </row>
    <row r="249" spans="1:7" x14ac:dyDescent="0.25">
      <c r="A249" s="128"/>
      <c r="B249" s="128"/>
      <c r="C249" s="128"/>
      <c r="D249" s="128"/>
      <c r="E249" s="128"/>
      <c r="F249" s="128"/>
      <c r="G249" s="128"/>
    </row>
    <row r="250" spans="1:7" x14ac:dyDescent="0.25">
      <c r="A250" s="128"/>
      <c r="B250" s="128"/>
      <c r="C250" s="128"/>
      <c r="D250" s="128"/>
      <c r="E250" s="128"/>
      <c r="F250" s="128"/>
      <c r="G250" s="128"/>
    </row>
    <row r="251" spans="1:7" x14ac:dyDescent="0.25">
      <c r="A251" s="128"/>
      <c r="B251" s="128"/>
      <c r="C251" s="128"/>
      <c r="D251" s="128"/>
      <c r="E251" s="128"/>
      <c r="F251" s="128"/>
      <c r="G251" s="128"/>
    </row>
    <row r="252" spans="1:7" x14ac:dyDescent="0.25">
      <c r="A252" s="128"/>
      <c r="B252" s="128"/>
      <c r="C252" s="128"/>
      <c r="D252" s="128"/>
      <c r="E252" s="128"/>
      <c r="F252" s="128"/>
      <c r="G252" s="128"/>
    </row>
    <row r="253" spans="1:7" x14ac:dyDescent="0.25">
      <c r="A253" s="128"/>
      <c r="B253" s="128"/>
      <c r="C253" s="128"/>
      <c r="D253" s="128"/>
      <c r="E253" s="128"/>
      <c r="F253" s="128"/>
      <c r="G253" s="128"/>
    </row>
    <row r="254" spans="1:7" x14ac:dyDescent="0.25">
      <c r="A254" s="128"/>
      <c r="B254" s="128"/>
      <c r="C254" s="128"/>
      <c r="D254" s="128"/>
      <c r="E254" s="128"/>
      <c r="F254" s="128"/>
      <c r="G254" s="128"/>
    </row>
    <row r="255" spans="1:7" x14ac:dyDescent="0.25">
      <c r="A255" s="128"/>
      <c r="B255" s="128"/>
      <c r="C255" s="128"/>
      <c r="D255" s="128"/>
      <c r="E255" s="128"/>
      <c r="F255" s="128"/>
      <c r="G255" s="128"/>
    </row>
    <row r="256" spans="1:7" x14ac:dyDescent="0.25">
      <c r="A256" s="128"/>
      <c r="B256" s="128"/>
      <c r="C256" s="128"/>
      <c r="D256" s="128"/>
      <c r="E256" s="128"/>
      <c r="F256" s="128"/>
      <c r="G256" s="128"/>
    </row>
    <row r="257" spans="1:7" x14ac:dyDescent="0.25">
      <c r="A257" s="128"/>
      <c r="B257" s="128"/>
      <c r="C257" s="128"/>
      <c r="D257" s="128"/>
      <c r="E257" s="128"/>
      <c r="F257" s="128"/>
      <c r="G257" s="128"/>
    </row>
    <row r="258" spans="1:7" x14ac:dyDescent="0.25">
      <c r="A258" s="128"/>
      <c r="B258" s="128"/>
      <c r="C258" s="128"/>
      <c r="D258" s="128"/>
      <c r="E258" s="128"/>
      <c r="F258" s="128"/>
      <c r="G258" s="128"/>
    </row>
    <row r="259" spans="1:7" x14ac:dyDescent="0.25">
      <c r="A259" s="128"/>
      <c r="B259" s="128"/>
      <c r="C259" s="128"/>
      <c r="D259" s="128"/>
      <c r="E259" s="128"/>
      <c r="F259" s="128"/>
      <c r="G259" s="128"/>
    </row>
    <row r="260" spans="1:7" x14ac:dyDescent="0.25">
      <c r="A260" s="128"/>
      <c r="B260" s="128"/>
      <c r="C260" s="128"/>
      <c r="D260" s="128"/>
      <c r="E260" s="128"/>
      <c r="F260" s="128"/>
      <c r="G260" s="128"/>
    </row>
    <row r="261" spans="1:7" x14ac:dyDescent="0.25">
      <c r="A261" s="128"/>
      <c r="B261" s="128"/>
      <c r="C261" s="128"/>
      <c r="D261" s="128"/>
      <c r="E261" s="128"/>
      <c r="F261" s="128"/>
      <c r="G261" s="128"/>
    </row>
    <row r="262" spans="1:7" x14ac:dyDescent="0.25">
      <c r="A262" s="128"/>
      <c r="B262" s="128"/>
      <c r="C262" s="128"/>
      <c r="D262" s="128"/>
      <c r="E262" s="128"/>
      <c r="F262" s="128"/>
      <c r="G262" s="128"/>
    </row>
    <row r="263" spans="1:7" x14ac:dyDescent="0.25">
      <c r="A263" s="128"/>
      <c r="B263" s="128"/>
      <c r="C263" s="128"/>
      <c r="D263" s="128"/>
      <c r="E263" s="128"/>
      <c r="F263" s="128"/>
      <c r="G263" s="128"/>
    </row>
    <row r="264" spans="1:7" x14ac:dyDescent="0.25">
      <c r="A264" s="128"/>
      <c r="B264" s="128"/>
      <c r="C264" s="128"/>
      <c r="D264" s="128"/>
      <c r="E264" s="128"/>
      <c r="F264" s="128"/>
      <c r="G264" s="128"/>
    </row>
    <row r="265" spans="1:7" x14ac:dyDescent="0.25">
      <c r="A265" s="128"/>
      <c r="B265" s="128"/>
      <c r="C265" s="128"/>
      <c r="D265" s="128"/>
      <c r="E265" s="128"/>
      <c r="F265" s="128"/>
      <c r="G265" s="128"/>
    </row>
    <row r="266" spans="1:7" x14ac:dyDescent="0.25">
      <c r="A266" s="128"/>
      <c r="B266" s="128"/>
      <c r="C266" s="128"/>
      <c r="D266" s="128"/>
      <c r="E266" s="128"/>
      <c r="F266" s="128"/>
      <c r="G266" s="128"/>
    </row>
    <row r="267" spans="1:7" x14ac:dyDescent="0.25">
      <c r="A267" s="128"/>
      <c r="B267" s="128"/>
      <c r="C267" s="128"/>
      <c r="D267" s="128"/>
      <c r="E267" s="128"/>
      <c r="F267" s="128"/>
      <c r="G267" s="128"/>
    </row>
    <row r="268" spans="1:7" x14ac:dyDescent="0.25">
      <c r="A268" s="128"/>
      <c r="B268" s="128"/>
      <c r="C268" s="128"/>
      <c r="D268" s="128"/>
      <c r="E268" s="128"/>
      <c r="F268" s="128"/>
      <c r="G268" s="128"/>
    </row>
    <row r="269" spans="1:7" x14ac:dyDescent="0.25">
      <c r="A269" s="128"/>
      <c r="B269" s="128"/>
      <c r="C269" s="128"/>
      <c r="D269" s="128"/>
      <c r="E269" s="128"/>
      <c r="F269" s="128"/>
      <c r="G269" s="128"/>
    </row>
    <row r="270" spans="1:7" x14ac:dyDescent="0.25">
      <c r="A270" s="128"/>
      <c r="B270" s="128"/>
      <c r="C270" s="128"/>
      <c r="D270" s="128"/>
      <c r="E270" s="128"/>
      <c r="F270" s="128"/>
      <c r="G270" s="128"/>
    </row>
    <row r="271" spans="1:7" x14ac:dyDescent="0.25">
      <c r="A271" s="128"/>
      <c r="B271" s="128"/>
      <c r="C271" s="128"/>
      <c r="D271" s="128"/>
      <c r="E271" s="128"/>
      <c r="F271" s="128"/>
      <c r="G271" s="128"/>
    </row>
    <row r="272" spans="1:7" x14ac:dyDescent="0.25">
      <c r="A272" s="128"/>
      <c r="B272" s="128"/>
      <c r="C272" s="128"/>
      <c r="D272" s="128"/>
      <c r="E272" s="128"/>
      <c r="F272" s="128"/>
      <c r="G272" s="128"/>
    </row>
    <row r="273" spans="1:7" x14ac:dyDescent="0.25">
      <c r="A273" s="128"/>
      <c r="B273" s="128"/>
      <c r="C273" s="128"/>
      <c r="D273" s="128"/>
      <c r="E273" s="128"/>
      <c r="F273" s="128"/>
      <c r="G273" s="128"/>
    </row>
    <row r="274" spans="1:7" x14ac:dyDescent="0.25">
      <c r="A274" s="128"/>
      <c r="B274" s="128"/>
      <c r="C274" s="128"/>
      <c r="D274" s="128"/>
      <c r="E274" s="128"/>
      <c r="F274" s="128"/>
      <c r="G274" s="128"/>
    </row>
    <row r="275" spans="1:7" x14ac:dyDescent="0.25">
      <c r="A275" s="128"/>
      <c r="B275" s="128"/>
      <c r="C275" s="128"/>
      <c r="D275" s="128"/>
      <c r="E275" s="128"/>
      <c r="F275" s="128"/>
      <c r="G275" s="128"/>
    </row>
    <row r="276" spans="1:7" x14ac:dyDescent="0.25">
      <c r="A276" s="128"/>
      <c r="B276" s="128"/>
      <c r="C276" s="128"/>
      <c r="D276" s="128"/>
      <c r="E276" s="128"/>
      <c r="F276" s="128"/>
      <c r="G276" s="128"/>
    </row>
    <row r="277" spans="1:7" x14ac:dyDescent="0.25">
      <c r="A277" s="128"/>
      <c r="B277" s="128"/>
      <c r="C277" s="128"/>
      <c r="D277" s="128"/>
      <c r="E277" s="128"/>
      <c r="F277" s="128"/>
      <c r="G277" s="128"/>
    </row>
    <row r="278" spans="1:7" x14ac:dyDescent="0.25">
      <c r="A278" s="128"/>
      <c r="B278" s="128"/>
      <c r="C278" s="128"/>
      <c r="D278" s="128"/>
      <c r="E278" s="128"/>
      <c r="F278" s="128"/>
      <c r="G278" s="128"/>
    </row>
    <row r="279" spans="1:7" x14ac:dyDescent="0.25">
      <c r="A279" s="128"/>
      <c r="B279" s="128"/>
      <c r="C279" s="128"/>
      <c r="D279" s="128"/>
      <c r="E279" s="128"/>
      <c r="F279" s="128"/>
      <c r="G279" s="128"/>
    </row>
    <row r="280" spans="1:7" x14ac:dyDescent="0.25">
      <c r="A280" s="128"/>
      <c r="B280" s="128"/>
      <c r="C280" s="128"/>
      <c r="D280" s="128"/>
      <c r="E280" s="128"/>
      <c r="F280" s="128"/>
      <c r="G280" s="128"/>
    </row>
    <row r="281" spans="1:7" x14ac:dyDescent="0.25">
      <c r="A281" s="128"/>
      <c r="B281" s="128"/>
      <c r="C281" s="128"/>
      <c r="D281" s="128"/>
      <c r="E281" s="128"/>
      <c r="F281" s="128"/>
      <c r="G281" s="128"/>
    </row>
    <row r="282" spans="1:7" x14ac:dyDescent="0.25">
      <c r="A282" s="128"/>
      <c r="B282" s="128"/>
      <c r="C282" s="128"/>
      <c r="D282" s="128"/>
      <c r="E282" s="128"/>
      <c r="F282" s="128"/>
      <c r="G282" s="128"/>
    </row>
    <row r="283" spans="1:7" x14ac:dyDescent="0.25">
      <c r="A283" s="128"/>
      <c r="B283" s="128"/>
      <c r="C283" s="128"/>
      <c r="D283" s="128"/>
      <c r="E283" s="128"/>
      <c r="F283" s="128"/>
      <c r="G283" s="128"/>
    </row>
    <row r="284" spans="1:7" x14ac:dyDescent="0.25">
      <c r="A284" s="128"/>
      <c r="B284" s="128"/>
      <c r="C284" s="128"/>
      <c r="D284" s="128"/>
      <c r="E284" s="128"/>
      <c r="F284" s="128"/>
      <c r="G284" s="128"/>
    </row>
    <row r="285" spans="1:7" x14ac:dyDescent="0.25">
      <c r="A285" s="128"/>
      <c r="B285" s="128"/>
      <c r="C285" s="128"/>
      <c r="D285" s="128"/>
      <c r="E285" s="128"/>
      <c r="F285" s="128"/>
      <c r="G285" s="128"/>
    </row>
    <row r="286" spans="1:7" x14ac:dyDescent="0.25">
      <c r="A286" s="128"/>
      <c r="B286" s="128"/>
      <c r="C286" s="128"/>
      <c r="D286" s="128"/>
      <c r="E286" s="128"/>
      <c r="F286" s="128"/>
      <c r="G286" s="128"/>
    </row>
    <row r="287" spans="1:7" x14ac:dyDescent="0.25">
      <c r="A287" s="128"/>
      <c r="B287" s="128"/>
      <c r="C287" s="128"/>
      <c r="D287" s="128"/>
      <c r="E287" s="128"/>
      <c r="F287" s="128"/>
      <c r="G287" s="128"/>
    </row>
    <row r="288" spans="1:7" x14ac:dyDescent="0.25">
      <c r="A288" s="128"/>
      <c r="B288" s="128"/>
      <c r="C288" s="128"/>
      <c r="D288" s="128"/>
      <c r="E288" s="128"/>
      <c r="F288" s="128"/>
      <c r="G288" s="128"/>
    </row>
    <row r="289" spans="1:7" x14ac:dyDescent="0.25">
      <c r="A289" s="128"/>
      <c r="B289" s="128"/>
      <c r="C289" s="128"/>
      <c r="D289" s="128"/>
      <c r="E289" s="128"/>
      <c r="F289" s="128"/>
      <c r="G289" s="128"/>
    </row>
    <row r="290" spans="1:7" x14ac:dyDescent="0.25">
      <c r="A290" s="128"/>
      <c r="B290" s="128"/>
      <c r="C290" s="128"/>
      <c r="D290" s="128"/>
      <c r="E290" s="128"/>
      <c r="F290" s="128"/>
      <c r="G290" s="128"/>
    </row>
    <row r="291" spans="1:7" x14ac:dyDescent="0.25">
      <c r="A291" s="128"/>
      <c r="B291" s="128"/>
      <c r="C291" s="128"/>
      <c r="D291" s="128"/>
      <c r="E291" s="128"/>
      <c r="F291" s="128"/>
      <c r="G291" s="128"/>
    </row>
    <row r="292" spans="1:7" x14ac:dyDescent="0.25">
      <c r="A292" s="128"/>
      <c r="B292" s="128"/>
      <c r="C292" s="128"/>
      <c r="D292" s="128"/>
      <c r="E292" s="128"/>
      <c r="F292" s="128"/>
      <c r="G292" s="128"/>
    </row>
    <row r="293" spans="1:7" x14ac:dyDescent="0.25">
      <c r="A293" s="128"/>
      <c r="B293" s="128"/>
      <c r="C293" s="128"/>
      <c r="D293" s="128"/>
      <c r="E293" s="128"/>
      <c r="F293" s="128"/>
      <c r="G293" s="128"/>
    </row>
    <row r="294" spans="1:7" x14ac:dyDescent="0.25">
      <c r="A294" s="128"/>
      <c r="B294" s="128"/>
      <c r="C294" s="128"/>
      <c r="D294" s="128"/>
      <c r="E294" s="128"/>
      <c r="F294" s="128"/>
      <c r="G294" s="128"/>
    </row>
    <row r="295" spans="1:7" x14ac:dyDescent="0.25">
      <c r="A295" s="128"/>
      <c r="B295" s="128"/>
      <c r="C295" s="128"/>
      <c r="D295" s="128"/>
      <c r="E295" s="128"/>
      <c r="F295" s="128"/>
      <c r="G295" s="128"/>
    </row>
    <row r="296" spans="1:7" x14ac:dyDescent="0.25">
      <c r="A296" s="128"/>
      <c r="B296" s="128"/>
      <c r="C296" s="128"/>
      <c r="D296" s="128"/>
      <c r="E296" s="128"/>
      <c r="F296" s="128"/>
      <c r="G296" s="128"/>
    </row>
    <row r="297" spans="1:7" x14ac:dyDescent="0.25">
      <c r="A297" s="128"/>
      <c r="B297" s="128"/>
      <c r="C297" s="128"/>
      <c r="D297" s="128"/>
      <c r="E297" s="128"/>
      <c r="F297" s="128"/>
      <c r="G297" s="128"/>
    </row>
    <row r="298" spans="1:7" x14ac:dyDescent="0.25">
      <c r="A298" s="128"/>
      <c r="B298" s="128"/>
      <c r="C298" s="128"/>
      <c r="D298" s="128"/>
      <c r="E298" s="128"/>
      <c r="F298" s="128"/>
      <c r="G298" s="128"/>
    </row>
    <row r="299" spans="1:7" x14ac:dyDescent="0.25">
      <c r="A299" s="128"/>
      <c r="B299" s="128"/>
      <c r="C299" s="128"/>
      <c r="D299" s="128"/>
      <c r="E299" s="128"/>
      <c r="F299" s="128"/>
      <c r="G299" s="128"/>
    </row>
    <row r="300" spans="1:7" x14ac:dyDescent="0.25">
      <c r="A300" s="128"/>
      <c r="B300" s="128"/>
      <c r="C300" s="128"/>
      <c r="D300" s="128"/>
      <c r="E300" s="128"/>
      <c r="F300" s="128"/>
      <c r="G300" s="128"/>
    </row>
    <row r="301" spans="1:7" x14ac:dyDescent="0.25">
      <c r="A301" s="128"/>
      <c r="B301" s="128"/>
      <c r="C301" s="128"/>
      <c r="D301" s="128"/>
      <c r="E301" s="128"/>
      <c r="F301" s="128"/>
      <c r="G301" s="128"/>
    </row>
    <row r="302" spans="1:7" x14ac:dyDescent="0.25">
      <c r="A302" s="128"/>
      <c r="B302" s="128"/>
      <c r="C302" s="128"/>
      <c r="D302" s="128"/>
      <c r="E302" s="128"/>
      <c r="F302" s="128"/>
      <c r="G302" s="128"/>
    </row>
    <row r="303" spans="1:7" x14ac:dyDescent="0.25">
      <c r="A303" s="128"/>
      <c r="B303" s="128"/>
      <c r="C303" s="128"/>
      <c r="D303" s="128"/>
      <c r="E303" s="128"/>
      <c r="F303" s="128"/>
      <c r="G303" s="128"/>
    </row>
    <row r="304" spans="1:7" x14ac:dyDescent="0.25">
      <c r="A304" s="128"/>
      <c r="B304" s="128"/>
      <c r="C304" s="128"/>
      <c r="D304" s="128"/>
      <c r="E304" s="128"/>
      <c r="F304" s="128"/>
      <c r="G304" s="128"/>
    </row>
    <row r="305" spans="1:7" x14ac:dyDescent="0.25">
      <c r="A305" s="128"/>
      <c r="B305" s="128"/>
      <c r="C305" s="128"/>
      <c r="D305" s="128"/>
      <c r="E305" s="128"/>
      <c r="F305" s="128"/>
      <c r="G305" s="128"/>
    </row>
    <row r="306" spans="1:7" x14ac:dyDescent="0.25">
      <c r="A306" s="128"/>
      <c r="B306" s="128"/>
      <c r="C306" s="128"/>
      <c r="D306" s="128"/>
      <c r="E306" s="128"/>
      <c r="F306" s="128"/>
      <c r="G306" s="128"/>
    </row>
    <row r="307" spans="1:7" x14ac:dyDescent="0.25">
      <c r="A307" s="128"/>
      <c r="B307" s="128"/>
      <c r="C307" s="128"/>
      <c r="D307" s="128"/>
      <c r="E307" s="128"/>
      <c r="F307" s="128"/>
      <c r="G307" s="128"/>
    </row>
    <row r="308" spans="1:7" x14ac:dyDescent="0.25">
      <c r="A308" s="128"/>
      <c r="B308" s="128"/>
      <c r="C308" s="128"/>
      <c r="D308" s="128"/>
      <c r="E308" s="128"/>
      <c r="F308" s="128"/>
      <c r="G308" s="128"/>
    </row>
    <row r="309" spans="1:7" x14ac:dyDescent="0.25">
      <c r="A309" s="128"/>
      <c r="B309" s="128"/>
      <c r="C309" s="128"/>
      <c r="D309" s="128"/>
      <c r="E309" s="128"/>
      <c r="F309" s="128"/>
      <c r="G309" s="128"/>
    </row>
    <row r="310" spans="1:7" x14ac:dyDescent="0.25">
      <c r="A310" s="128"/>
      <c r="B310" s="128"/>
      <c r="C310" s="128"/>
      <c r="D310" s="128"/>
      <c r="E310" s="128"/>
      <c r="F310" s="128"/>
      <c r="G310" s="128"/>
    </row>
    <row r="311" spans="1:7" x14ac:dyDescent="0.25">
      <c r="A311" s="128"/>
      <c r="B311" s="128"/>
      <c r="C311" s="128"/>
      <c r="D311" s="128"/>
      <c r="E311" s="128"/>
      <c r="F311" s="128"/>
      <c r="G311" s="128"/>
    </row>
    <row r="312" spans="1:7" x14ac:dyDescent="0.25">
      <c r="A312" s="128"/>
      <c r="B312" s="128"/>
      <c r="C312" s="128"/>
      <c r="D312" s="128"/>
      <c r="E312" s="128"/>
      <c r="F312" s="128"/>
      <c r="G312" s="128"/>
    </row>
    <row r="313" spans="1:7" x14ac:dyDescent="0.25">
      <c r="A313" s="128"/>
      <c r="B313" s="128"/>
      <c r="C313" s="128"/>
      <c r="D313" s="128"/>
      <c r="E313" s="128"/>
      <c r="F313" s="128"/>
      <c r="G313" s="128"/>
    </row>
    <row r="314" spans="1:7" x14ac:dyDescent="0.25">
      <c r="A314" s="128"/>
      <c r="B314" s="128"/>
      <c r="C314" s="128"/>
      <c r="D314" s="128"/>
      <c r="E314" s="128"/>
      <c r="F314" s="128"/>
      <c r="G314" s="128"/>
    </row>
    <row r="315" spans="1:7" x14ac:dyDescent="0.25">
      <c r="A315" s="128"/>
      <c r="B315" s="128"/>
      <c r="C315" s="128"/>
      <c r="D315" s="128"/>
      <c r="E315" s="128"/>
      <c r="F315" s="128"/>
      <c r="G315" s="128"/>
    </row>
    <row r="316" spans="1:7" x14ac:dyDescent="0.25">
      <c r="A316" s="128"/>
      <c r="B316" s="128"/>
      <c r="C316" s="128"/>
      <c r="D316" s="128"/>
      <c r="E316" s="128"/>
      <c r="F316" s="128"/>
      <c r="G316" s="128"/>
    </row>
    <row r="317" spans="1:7" x14ac:dyDescent="0.25">
      <c r="A317" s="128"/>
      <c r="B317" s="128"/>
      <c r="C317" s="128"/>
      <c r="D317" s="128"/>
      <c r="E317" s="128"/>
      <c r="F317" s="128"/>
      <c r="G317" s="128"/>
    </row>
    <row r="318" spans="1:7" x14ac:dyDescent="0.25">
      <c r="A318" s="128"/>
      <c r="B318" s="128"/>
      <c r="C318" s="128"/>
      <c r="D318" s="128"/>
      <c r="E318" s="128"/>
      <c r="F318" s="128"/>
      <c r="G318" s="128"/>
    </row>
    <row r="319" spans="1:7" x14ac:dyDescent="0.25">
      <c r="A319" s="128"/>
      <c r="B319" s="128"/>
      <c r="C319" s="128"/>
      <c r="D319" s="128"/>
      <c r="E319" s="128"/>
      <c r="F319" s="128"/>
      <c r="G319" s="128"/>
    </row>
    <row r="320" spans="1:7" x14ac:dyDescent="0.25">
      <c r="A320" s="128"/>
      <c r="B320" s="128"/>
      <c r="C320" s="128"/>
      <c r="D320" s="128"/>
      <c r="E320" s="128"/>
      <c r="F320" s="128"/>
      <c r="G320" s="128"/>
    </row>
    <row r="321" spans="1:7" x14ac:dyDescent="0.25">
      <c r="A321" s="128"/>
      <c r="B321" s="128"/>
      <c r="C321" s="128"/>
      <c r="D321" s="128"/>
      <c r="E321" s="128"/>
      <c r="F321" s="128"/>
      <c r="G321" s="128"/>
    </row>
    <row r="322" spans="1:7" x14ac:dyDescent="0.25">
      <c r="A322" s="128"/>
      <c r="B322" s="128"/>
      <c r="C322" s="128"/>
      <c r="D322" s="128"/>
      <c r="E322" s="128"/>
      <c r="F322" s="128"/>
      <c r="G322" s="128"/>
    </row>
    <row r="323" spans="1:7" x14ac:dyDescent="0.25">
      <c r="A323" s="128"/>
      <c r="B323" s="128"/>
      <c r="C323" s="128"/>
      <c r="D323" s="128"/>
      <c r="E323" s="128"/>
      <c r="F323" s="128"/>
      <c r="G323" s="128"/>
    </row>
    <row r="324" spans="1:7" x14ac:dyDescent="0.25">
      <c r="A324" s="128"/>
      <c r="B324" s="128"/>
      <c r="C324" s="128"/>
      <c r="D324" s="128"/>
      <c r="E324" s="128"/>
      <c r="F324" s="128"/>
      <c r="G324" s="128"/>
    </row>
    <row r="325" spans="1:7" x14ac:dyDescent="0.25">
      <c r="A325" s="128"/>
      <c r="B325" s="128"/>
      <c r="C325" s="128"/>
      <c r="D325" s="128"/>
      <c r="E325" s="128"/>
      <c r="F325" s="128"/>
      <c r="G325" s="128"/>
    </row>
    <row r="326" spans="1:7" x14ac:dyDescent="0.25">
      <c r="A326" s="128"/>
      <c r="B326" s="128"/>
      <c r="C326" s="128"/>
      <c r="D326" s="128"/>
      <c r="E326" s="128"/>
      <c r="F326" s="128"/>
      <c r="G326" s="128"/>
    </row>
    <row r="327" spans="1:7" x14ac:dyDescent="0.25">
      <c r="A327" s="128"/>
      <c r="B327" s="128"/>
      <c r="C327" s="128"/>
      <c r="D327" s="128"/>
      <c r="E327" s="128"/>
      <c r="F327" s="128"/>
      <c r="G327" s="128"/>
    </row>
    <row r="328" spans="1:7" x14ac:dyDescent="0.25">
      <c r="A328" s="128"/>
      <c r="B328" s="128"/>
      <c r="C328" s="128"/>
      <c r="D328" s="128"/>
      <c r="E328" s="128"/>
      <c r="F328" s="128"/>
      <c r="G328" s="128"/>
    </row>
    <row r="329" spans="1:7" x14ac:dyDescent="0.25">
      <c r="A329" s="128"/>
      <c r="B329" s="128"/>
      <c r="C329" s="128"/>
      <c r="D329" s="128"/>
      <c r="E329" s="128"/>
      <c r="F329" s="128"/>
      <c r="G329" s="128"/>
    </row>
    <row r="330" spans="1:7" x14ac:dyDescent="0.25">
      <c r="A330" s="128"/>
      <c r="B330" s="128"/>
      <c r="C330" s="128"/>
      <c r="D330" s="128"/>
      <c r="E330" s="128"/>
      <c r="F330" s="128"/>
      <c r="G330" s="128"/>
    </row>
    <row r="331" spans="1:7" x14ac:dyDescent="0.25">
      <c r="A331" s="128"/>
      <c r="B331" s="128"/>
      <c r="C331" s="128"/>
      <c r="D331" s="128"/>
      <c r="E331" s="128"/>
      <c r="F331" s="128"/>
      <c r="G331" s="128"/>
    </row>
    <row r="332" spans="1:7" x14ac:dyDescent="0.25">
      <c r="A332" s="128"/>
      <c r="B332" s="128"/>
      <c r="C332" s="128"/>
      <c r="D332" s="128"/>
      <c r="E332" s="128"/>
      <c r="F332" s="128"/>
      <c r="G332" s="128"/>
    </row>
    <row r="333" spans="1:7" x14ac:dyDescent="0.25">
      <c r="A333" s="128"/>
      <c r="B333" s="128"/>
      <c r="C333" s="128"/>
      <c r="D333" s="128"/>
      <c r="E333" s="128"/>
      <c r="F333" s="128"/>
      <c r="G333" s="128"/>
    </row>
    <row r="334" spans="1:7" x14ac:dyDescent="0.25">
      <c r="A334" s="128"/>
      <c r="B334" s="128"/>
      <c r="C334" s="128"/>
      <c r="D334" s="128"/>
      <c r="E334" s="128"/>
      <c r="F334" s="128"/>
      <c r="G334" s="128"/>
    </row>
    <row r="335" spans="1:7" x14ac:dyDescent="0.25">
      <c r="A335" s="128"/>
      <c r="B335" s="128"/>
      <c r="C335" s="128"/>
      <c r="D335" s="128"/>
      <c r="E335" s="128"/>
      <c r="F335" s="128"/>
      <c r="G335" s="128"/>
    </row>
    <row r="336" spans="1:7" x14ac:dyDescent="0.25">
      <c r="A336" s="128"/>
      <c r="B336" s="128"/>
      <c r="C336" s="128"/>
      <c r="D336" s="128"/>
      <c r="E336" s="128"/>
      <c r="F336" s="128"/>
      <c r="G336" s="128"/>
    </row>
    <row r="337" spans="1:7" x14ac:dyDescent="0.25">
      <c r="A337" s="128"/>
      <c r="B337" s="128"/>
      <c r="C337" s="128"/>
      <c r="D337" s="128"/>
      <c r="E337" s="128"/>
      <c r="F337" s="128"/>
      <c r="G337" s="128"/>
    </row>
    <row r="338" spans="1:7" x14ac:dyDescent="0.25">
      <c r="A338" s="128"/>
      <c r="B338" s="128"/>
      <c r="C338" s="128"/>
      <c r="D338" s="128"/>
      <c r="E338" s="128"/>
      <c r="F338" s="128"/>
      <c r="G338" s="128"/>
    </row>
    <row r="339" spans="1:7" x14ac:dyDescent="0.25">
      <c r="A339" s="128"/>
      <c r="B339" s="128"/>
      <c r="C339" s="128"/>
      <c r="D339" s="128"/>
      <c r="E339" s="128"/>
      <c r="F339" s="128"/>
      <c r="G339" s="128"/>
    </row>
    <row r="340" spans="1:7" x14ac:dyDescent="0.25">
      <c r="A340" s="128"/>
      <c r="B340" s="128"/>
      <c r="C340" s="128"/>
      <c r="D340" s="128"/>
      <c r="E340" s="128"/>
      <c r="F340" s="128"/>
      <c r="G340" s="128"/>
    </row>
    <row r="341" spans="1:7" x14ac:dyDescent="0.25">
      <c r="A341" s="128"/>
      <c r="B341" s="128"/>
      <c r="C341" s="128"/>
      <c r="D341" s="128"/>
      <c r="E341" s="128"/>
      <c r="F341" s="128"/>
      <c r="G341" s="128"/>
    </row>
    <row r="342" spans="1:7" x14ac:dyDescent="0.25">
      <c r="A342" s="128"/>
      <c r="B342" s="128"/>
      <c r="C342" s="128"/>
      <c r="D342" s="128"/>
      <c r="E342" s="128"/>
      <c r="F342" s="128"/>
      <c r="G342" s="128"/>
    </row>
    <row r="343" spans="1:7" x14ac:dyDescent="0.25">
      <c r="A343" s="128"/>
      <c r="B343" s="128"/>
      <c r="C343" s="128"/>
      <c r="D343" s="128"/>
      <c r="E343" s="128"/>
      <c r="F343" s="128"/>
      <c r="G343" s="128"/>
    </row>
    <row r="344" spans="1:7" x14ac:dyDescent="0.25">
      <c r="A344" s="128"/>
      <c r="B344" s="128"/>
      <c r="C344" s="128"/>
      <c r="D344" s="128"/>
      <c r="E344" s="128"/>
      <c r="F344" s="128"/>
      <c r="G344" s="128"/>
    </row>
    <row r="345" spans="1:7" x14ac:dyDescent="0.25">
      <c r="A345" s="128"/>
      <c r="B345" s="128"/>
      <c r="C345" s="128"/>
      <c r="D345" s="128"/>
      <c r="E345" s="128"/>
      <c r="F345" s="128"/>
      <c r="G345" s="128"/>
    </row>
    <row r="346" spans="1:7" x14ac:dyDescent="0.25">
      <c r="A346" s="128"/>
      <c r="B346" s="128"/>
      <c r="C346" s="128"/>
      <c r="D346" s="128"/>
      <c r="E346" s="128"/>
      <c r="F346" s="128"/>
      <c r="G346" s="128"/>
    </row>
    <row r="347" spans="1:7" x14ac:dyDescent="0.25">
      <c r="A347" s="128"/>
      <c r="B347" s="128"/>
      <c r="C347" s="128"/>
      <c r="D347" s="128"/>
      <c r="E347" s="128"/>
      <c r="F347" s="128"/>
      <c r="G347" s="128"/>
    </row>
    <row r="348" spans="1:7" x14ac:dyDescent="0.25">
      <c r="A348" s="128"/>
      <c r="B348" s="128"/>
      <c r="C348" s="128"/>
      <c r="D348" s="128"/>
      <c r="E348" s="128"/>
      <c r="F348" s="128"/>
      <c r="G348" s="128"/>
    </row>
    <row r="349" spans="1:7" x14ac:dyDescent="0.25">
      <c r="A349" s="128"/>
      <c r="B349" s="128"/>
      <c r="C349" s="128"/>
      <c r="D349" s="128"/>
      <c r="E349" s="128"/>
      <c r="F349" s="128"/>
      <c r="G349" s="128"/>
    </row>
    <row r="350" spans="1:7" x14ac:dyDescent="0.25">
      <c r="A350" s="128"/>
      <c r="B350" s="128"/>
      <c r="C350" s="128"/>
      <c r="D350" s="128"/>
      <c r="E350" s="128"/>
      <c r="F350" s="128"/>
      <c r="G350" s="128"/>
    </row>
    <row r="351" spans="1:7" x14ac:dyDescent="0.25">
      <c r="A351" s="128"/>
      <c r="B351" s="128"/>
      <c r="C351" s="128"/>
      <c r="D351" s="128"/>
      <c r="E351" s="128"/>
      <c r="F351" s="128"/>
      <c r="G351" s="128"/>
    </row>
    <row r="352" spans="1:7" x14ac:dyDescent="0.25">
      <c r="A352" s="128"/>
      <c r="B352" s="128"/>
      <c r="C352" s="128"/>
      <c r="D352" s="128"/>
      <c r="E352" s="128"/>
      <c r="F352" s="128"/>
      <c r="G352" s="128"/>
    </row>
    <row r="353" spans="1:7" x14ac:dyDescent="0.25">
      <c r="A353" s="128"/>
      <c r="B353" s="128"/>
      <c r="C353" s="128"/>
      <c r="D353" s="128"/>
      <c r="E353" s="128"/>
      <c r="F353" s="128"/>
      <c r="G353" s="128"/>
    </row>
    <row r="354" spans="1:7" x14ac:dyDescent="0.25">
      <c r="A354" s="128"/>
      <c r="B354" s="128"/>
      <c r="C354" s="128"/>
      <c r="D354" s="128"/>
      <c r="E354" s="128"/>
      <c r="F354" s="128"/>
      <c r="G354" s="128"/>
    </row>
    <row r="355" spans="1:7" x14ac:dyDescent="0.25">
      <c r="A355" s="128"/>
      <c r="B355" s="128"/>
      <c r="C355" s="128"/>
      <c r="D355" s="128"/>
      <c r="E355" s="128"/>
      <c r="F355" s="128"/>
      <c r="G355" s="128"/>
    </row>
    <row r="356" spans="1:7" x14ac:dyDescent="0.25">
      <c r="A356" s="128"/>
      <c r="B356" s="128"/>
      <c r="C356" s="128"/>
      <c r="D356" s="128"/>
      <c r="E356" s="128"/>
      <c r="F356" s="128"/>
      <c r="G356" s="128"/>
    </row>
    <row r="357" spans="1:7" x14ac:dyDescent="0.25">
      <c r="A357" s="128"/>
      <c r="B357" s="128"/>
      <c r="C357" s="128"/>
      <c r="D357" s="128"/>
      <c r="E357" s="128"/>
      <c r="F357" s="128"/>
      <c r="G357" s="128"/>
    </row>
    <row r="358" spans="1:7" x14ac:dyDescent="0.25">
      <c r="A358" s="128"/>
      <c r="B358" s="128"/>
      <c r="C358" s="128"/>
      <c r="D358" s="128"/>
      <c r="E358" s="128"/>
      <c r="F358" s="128"/>
      <c r="G358" s="128"/>
    </row>
    <row r="359" spans="1:7" x14ac:dyDescent="0.25">
      <c r="A359" s="128"/>
      <c r="B359" s="128"/>
      <c r="C359" s="128"/>
      <c r="D359" s="128"/>
      <c r="E359" s="128"/>
      <c r="F359" s="128"/>
      <c r="G359" s="128"/>
    </row>
    <row r="360" spans="1:7" x14ac:dyDescent="0.25">
      <c r="A360" s="128"/>
      <c r="B360" s="128"/>
      <c r="C360" s="128"/>
      <c r="D360" s="128"/>
      <c r="E360" s="128"/>
      <c r="F360" s="128"/>
      <c r="G360" s="128"/>
    </row>
    <row r="361" spans="1:7" x14ac:dyDescent="0.25">
      <c r="A361" s="128"/>
      <c r="B361" s="128"/>
      <c r="C361" s="128"/>
      <c r="D361" s="128"/>
      <c r="E361" s="128"/>
      <c r="F361" s="128"/>
      <c r="G361" s="128"/>
    </row>
    <row r="362" spans="1:7" x14ac:dyDescent="0.25">
      <c r="A362" s="128"/>
      <c r="B362" s="128"/>
      <c r="C362" s="128"/>
      <c r="D362" s="128"/>
      <c r="E362" s="128"/>
      <c r="F362" s="128"/>
      <c r="G362" s="128"/>
    </row>
    <row r="363" spans="1:7" x14ac:dyDescent="0.25">
      <c r="A363" s="128"/>
      <c r="B363" s="128"/>
      <c r="C363" s="128"/>
      <c r="D363" s="128"/>
      <c r="E363" s="128"/>
      <c r="F363" s="128"/>
      <c r="G363" s="128"/>
    </row>
    <row r="364" spans="1:7" x14ac:dyDescent="0.25">
      <c r="A364" s="128"/>
      <c r="B364" s="128"/>
      <c r="C364" s="128"/>
      <c r="D364" s="128"/>
      <c r="E364" s="128"/>
      <c r="F364" s="128"/>
      <c r="G364" s="128"/>
    </row>
    <row r="365" spans="1:7" x14ac:dyDescent="0.25">
      <c r="A365" s="128"/>
      <c r="B365" s="128"/>
      <c r="C365" s="128"/>
      <c r="D365" s="128"/>
      <c r="E365" s="128"/>
      <c r="F365" s="128"/>
      <c r="G365" s="128"/>
    </row>
    <row r="366" spans="1:7" x14ac:dyDescent="0.25">
      <c r="A366" s="128"/>
      <c r="B366" s="128"/>
      <c r="C366" s="128"/>
      <c r="D366" s="128"/>
      <c r="E366" s="128"/>
      <c r="F366" s="128"/>
      <c r="G366" s="128"/>
    </row>
  </sheetData>
  <mergeCells count="41">
    <mergeCell ref="B74:F74"/>
    <mergeCell ref="B48:F48"/>
    <mergeCell ref="B56:F56"/>
    <mergeCell ref="B60:F60"/>
    <mergeCell ref="B50:F50"/>
    <mergeCell ref="B72:F72"/>
    <mergeCell ref="B66:F66"/>
    <mergeCell ref="A71:F71"/>
    <mergeCell ref="B45:F45"/>
    <mergeCell ref="B51:F51"/>
    <mergeCell ref="B53:F53"/>
    <mergeCell ref="G36:G71"/>
    <mergeCell ref="B42:F42"/>
    <mergeCell ref="B44:F44"/>
    <mergeCell ref="B69:F69"/>
    <mergeCell ref="B35:F35"/>
    <mergeCell ref="B20:F20"/>
    <mergeCell ref="B22:F22"/>
    <mergeCell ref="B24:F24"/>
    <mergeCell ref="B26:F26"/>
    <mergeCell ref="G20:G27"/>
    <mergeCell ref="B6:F6"/>
    <mergeCell ref="B19:F19"/>
    <mergeCell ref="B28:F28"/>
    <mergeCell ref="A1:G1"/>
    <mergeCell ref="A2:G2"/>
    <mergeCell ref="A3:G3"/>
    <mergeCell ref="A4:G4"/>
    <mergeCell ref="B7:F7"/>
    <mergeCell ref="B16:F16"/>
    <mergeCell ref="G7:G18"/>
    <mergeCell ref="B18:F18"/>
    <mergeCell ref="G75:G78"/>
    <mergeCell ref="A84:F84"/>
    <mergeCell ref="A85:F85"/>
    <mergeCell ref="A86:F86"/>
    <mergeCell ref="A79:F79"/>
    <mergeCell ref="A80:F80"/>
    <mergeCell ref="A81:F81"/>
    <mergeCell ref="A82:F82"/>
    <mergeCell ref="A83:F83"/>
  </mergeCells>
  <printOptions horizontalCentered="1"/>
  <pageMargins left="0.25" right="0.25" top="0.75" bottom="0.75" header="0.3" footer="0.3"/>
  <pageSetup scale="86" fitToHeight="0" orientation="portrait" r:id="rId1"/>
  <rowBreaks count="7" manualBreakCount="7">
    <brk id="18" max="6" man="1"/>
    <brk id="23" max="6" man="1"/>
    <brk id="29" max="6" man="1"/>
    <brk id="32" max="6" man="1"/>
    <brk id="40" max="6" man="1"/>
    <brk id="59" max="6" man="1"/>
    <brk id="7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6"/>
  <sheetViews>
    <sheetView zoomScale="70" zoomScaleNormal="70" workbookViewId="0">
      <selection activeCell="G16" sqref="G16"/>
    </sheetView>
  </sheetViews>
  <sheetFormatPr baseColWidth="10" defaultColWidth="11.44140625" defaultRowHeight="14.4" x14ac:dyDescent="0.3"/>
  <cols>
    <col min="2" max="2" width="54.109375" customWidth="1"/>
  </cols>
  <sheetData>
    <row r="1" spans="1:7" ht="25.8" thickBot="1" x14ac:dyDescent="0.35">
      <c r="A1" s="228" t="s">
        <v>0</v>
      </c>
      <c r="B1" s="228"/>
      <c r="C1" s="228"/>
      <c r="D1" s="228"/>
      <c r="E1" s="228"/>
      <c r="F1" s="228"/>
      <c r="G1" s="228"/>
    </row>
    <row r="2" spans="1:7" ht="20.399999999999999" customHeight="1" thickBot="1" x14ac:dyDescent="0.35">
      <c r="A2" s="229" t="s">
        <v>430</v>
      </c>
      <c r="B2" s="229"/>
      <c r="C2" s="229"/>
      <c r="D2" s="229"/>
      <c r="E2" s="229"/>
      <c r="F2" s="229"/>
      <c r="G2" s="229"/>
    </row>
    <row r="3" spans="1:7" ht="78.599999999999994" thickBot="1" x14ac:dyDescent="0.35">
      <c r="A3" s="21" t="s">
        <v>4</v>
      </c>
      <c r="B3" s="21" t="s">
        <v>139</v>
      </c>
      <c r="C3" s="21" t="s">
        <v>32</v>
      </c>
      <c r="D3" s="21" t="s">
        <v>7</v>
      </c>
      <c r="E3" s="21" t="s">
        <v>240</v>
      </c>
      <c r="F3" s="98" t="s">
        <v>141</v>
      </c>
      <c r="G3" s="21" t="s">
        <v>151</v>
      </c>
    </row>
    <row r="4" spans="1:7" ht="155.69999999999999" customHeight="1" thickBot="1" x14ac:dyDescent="0.35">
      <c r="A4" s="95">
        <v>1</v>
      </c>
      <c r="B4" s="18" t="s">
        <v>242</v>
      </c>
      <c r="C4" s="13" t="s">
        <v>15</v>
      </c>
      <c r="D4" s="13">
        <v>155.19999999999999</v>
      </c>
      <c r="E4" s="14">
        <v>176.97</v>
      </c>
      <c r="F4" s="96">
        <f>D4*E4</f>
        <v>27465.743999999999</v>
      </c>
      <c r="G4" s="39"/>
    </row>
    <row r="5" spans="1:7" ht="44.7" customHeight="1" thickBot="1" x14ac:dyDescent="0.35">
      <c r="A5" s="95"/>
      <c r="B5" s="6" t="s">
        <v>174</v>
      </c>
      <c r="C5" s="7" t="s">
        <v>15</v>
      </c>
      <c r="D5" s="13">
        <v>155.19999999999999</v>
      </c>
      <c r="E5" s="8">
        <f>9.7</f>
        <v>9.6999999999999993</v>
      </c>
      <c r="F5" s="96">
        <f>D5*E5</f>
        <v>1505.4399999999998</v>
      </c>
      <c r="G5" s="39"/>
    </row>
    <row r="6" spans="1:7" ht="30.9" customHeight="1" thickBot="1" x14ac:dyDescent="0.35">
      <c r="A6" s="95"/>
      <c r="B6" s="6" t="s">
        <v>173</v>
      </c>
      <c r="C6" s="7" t="s">
        <v>15</v>
      </c>
      <c r="D6" s="13">
        <v>155.19999999999999</v>
      </c>
      <c r="E6" s="8">
        <f>17.55</f>
        <v>17.55</v>
      </c>
      <c r="F6" s="26">
        <f t="shared" ref="F6:F7" si="0">D6*E6</f>
        <v>2723.7599999999998</v>
      </c>
      <c r="G6" s="39"/>
    </row>
    <row r="7" spans="1:7" ht="33.9" customHeight="1" thickBot="1" x14ac:dyDescent="0.35">
      <c r="A7" s="95"/>
      <c r="B7" s="6" t="s">
        <v>174</v>
      </c>
      <c r="C7" s="7" t="s">
        <v>15</v>
      </c>
      <c r="D7" s="13">
        <v>155.19999999999999</v>
      </c>
      <c r="E7" s="8">
        <f>9.7</f>
        <v>9.6999999999999993</v>
      </c>
      <c r="F7" s="26">
        <f t="shared" si="0"/>
        <v>1505.4399999999998</v>
      </c>
      <c r="G7" s="39"/>
    </row>
    <row r="8" spans="1:7" ht="78.599999999999994" customHeight="1" thickBot="1" x14ac:dyDescent="0.35">
      <c r="A8" s="95"/>
      <c r="B8" s="9" t="s">
        <v>171</v>
      </c>
      <c r="C8" s="13" t="s">
        <v>24</v>
      </c>
      <c r="D8" s="13">
        <v>47.1</v>
      </c>
      <c r="E8" s="14">
        <f>65.28</f>
        <v>65.28</v>
      </c>
      <c r="F8" s="97">
        <f>D8*E8</f>
        <v>3074.6880000000001</v>
      </c>
      <c r="G8" s="39"/>
    </row>
    <row r="9" spans="1:7" ht="61.95" customHeight="1" thickBot="1" x14ac:dyDescent="0.35">
      <c r="A9" s="95"/>
      <c r="B9" s="48" t="s">
        <v>245</v>
      </c>
      <c r="C9" s="24" t="s">
        <v>24</v>
      </c>
      <c r="D9" s="27">
        <v>12</v>
      </c>
      <c r="E9" s="26">
        <f>(65*1.15)</f>
        <v>74.75</v>
      </c>
      <c r="F9" s="97">
        <f>D9*E9</f>
        <v>897</v>
      </c>
      <c r="G9" s="39"/>
    </row>
    <row r="10" spans="1:7" ht="51.9" customHeight="1" thickBot="1" x14ac:dyDescent="0.35">
      <c r="A10" s="95"/>
      <c r="B10" s="49" t="s">
        <v>178</v>
      </c>
      <c r="C10" s="13" t="s">
        <v>15</v>
      </c>
      <c r="D10" s="13">
        <v>155.19999999999999</v>
      </c>
      <c r="E10" s="14">
        <f>62.99</f>
        <v>62.99</v>
      </c>
      <c r="F10" s="97">
        <f>D10*E10</f>
        <v>9776.0479999999989</v>
      </c>
      <c r="G10" s="39"/>
    </row>
    <row r="11" spans="1:7" ht="42.9" customHeight="1" thickBot="1" x14ac:dyDescent="0.35">
      <c r="A11" s="95"/>
      <c r="B11" s="49" t="s">
        <v>184</v>
      </c>
      <c r="C11" s="13" t="s">
        <v>24</v>
      </c>
      <c r="D11" s="13">
        <v>0</v>
      </c>
      <c r="E11" s="14">
        <f>11.07</f>
        <v>11.07</v>
      </c>
      <c r="F11" s="97">
        <f t="shared" ref="F11:F12" si="1">D11*E11</f>
        <v>0</v>
      </c>
      <c r="G11" s="39"/>
    </row>
    <row r="12" spans="1:7" ht="81.45" customHeight="1" thickBot="1" x14ac:dyDescent="0.35">
      <c r="A12" s="95"/>
      <c r="B12" s="49" t="s">
        <v>277</v>
      </c>
      <c r="C12" s="13" t="s">
        <v>243</v>
      </c>
      <c r="D12" s="13">
        <v>19.8</v>
      </c>
      <c r="E12" s="14">
        <f>9.97</f>
        <v>9.9700000000000006</v>
      </c>
      <c r="F12" s="97">
        <f t="shared" si="1"/>
        <v>197.40600000000001</v>
      </c>
      <c r="G12" s="39"/>
    </row>
    <row r="13" spans="1:7" ht="67.2" customHeight="1" thickBot="1" x14ac:dyDescent="0.35">
      <c r="A13" s="95"/>
      <c r="B13" s="49" t="s">
        <v>278</v>
      </c>
      <c r="C13" s="13" t="s">
        <v>243</v>
      </c>
      <c r="D13" s="13">
        <v>19.8</v>
      </c>
      <c r="E13" s="14">
        <f>10.59</f>
        <v>10.59</v>
      </c>
      <c r="F13" s="97">
        <f>D13*E13</f>
        <v>209.68200000000002</v>
      </c>
      <c r="G13" s="39"/>
    </row>
    <row r="14" spans="1:7" ht="53.4" thickBot="1" x14ac:dyDescent="0.35">
      <c r="B14" s="49" t="s">
        <v>431</v>
      </c>
      <c r="C14" s="44" t="s">
        <v>243</v>
      </c>
      <c r="D14" s="44">
        <v>4.5</v>
      </c>
      <c r="E14" s="14">
        <f>10.59</f>
        <v>10.59</v>
      </c>
      <c r="F14" s="99">
        <f>D14*E14</f>
        <v>47.655000000000001</v>
      </c>
      <c r="G14" s="39"/>
    </row>
    <row r="15" spans="1:7" ht="15" thickBot="1" x14ac:dyDescent="0.35">
      <c r="B15" s="235" t="s">
        <v>432</v>
      </c>
      <c r="C15" s="235"/>
      <c r="D15" s="235"/>
      <c r="E15" s="235"/>
      <c r="F15" s="235"/>
      <c r="G15" s="23">
        <f>SUM(F4:F14)</f>
        <v>47402.862999999998</v>
      </c>
    </row>
    <row r="16" spans="1:7" ht="15" thickBot="1" x14ac:dyDescent="0.35">
      <c r="B16" s="235" t="s">
        <v>275</v>
      </c>
      <c r="C16" s="235"/>
      <c r="D16" s="235"/>
      <c r="E16" s="235"/>
      <c r="F16" s="235"/>
      <c r="G16" s="23">
        <f>G15/(155.2*1.6385)</f>
        <v>186.40879969421366</v>
      </c>
    </row>
  </sheetData>
  <mergeCells count="4">
    <mergeCell ref="A1:G1"/>
    <mergeCell ref="A2:G2"/>
    <mergeCell ref="B15:F15"/>
    <mergeCell ref="B16:F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Normal="100" workbookViewId="0">
      <selection activeCell="A15" sqref="A15:B15"/>
    </sheetView>
  </sheetViews>
  <sheetFormatPr baseColWidth="10" defaultColWidth="11.44140625" defaultRowHeight="14.4" x14ac:dyDescent="0.3"/>
  <cols>
    <col min="7" max="7" width="12.5546875" bestFit="1" customWidth="1"/>
  </cols>
  <sheetData>
    <row r="1" spans="1:7" ht="45.45" customHeight="1" thickBot="1" x14ac:dyDescent="0.35">
      <c r="A1" s="4" t="s">
        <v>4</v>
      </c>
      <c r="B1" s="221" t="s">
        <v>125</v>
      </c>
      <c r="C1" s="221"/>
      <c r="D1" s="221"/>
      <c r="E1" s="221"/>
      <c r="F1" s="221"/>
      <c r="G1" s="4" t="s">
        <v>126</v>
      </c>
    </row>
    <row r="2" spans="1:7" s="2" customFormat="1" ht="15.6" customHeight="1" thickBot="1" x14ac:dyDescent="0.35">
      <c r="A2" s="132">
        <v>1</v>
      </c>
      <c r="B2" s="224" t="s">
        <v>127</v>
      </c>
      <c r="C2" s="224"/>
      <c r="D2" s="224"/>
      <c r="E2" s="224"/>
      <c r="F2" s="224"/>
      <c r="G2" s="73">
        <f>'PLAN DE OFERTA'!G6</f>
        <v>0</v>
      </c>
    </row>
    <row r="3" spans="1:7" s="2" customFormat="1" ht="15.6" customHeight="1" thickBot="1" x14ac:dyDescent="0.35">
      <c r="A3" s="132">
        <v>2</v>
      </c>
      <c r="B3" s="224" t="s">
        <v>128</v>
      </c>
      <c r="C3" s="224"/>
      <c r="D3" s="224"/>
      <c r="E3" s="224"/>
      <c r="F3" s="224"/>
      <c r="G3" s="73">
        <f>'PLAN DE OFERTA'!G19</f>
        <v>0</v>
      </c>
    </row>
    <row r="4" spans="1:7" s="3" customFormat="1" ht="15.6" customHeight="1" thickBot="1" x14ac:dyDescent="0.35">
      <c r="A4" s="132">
        <v>3</v>
      </c>
      <c r="B4" s="222" t="s">
        <v>129</v>
      </c>
      <c r="C4" s="222"/>
      <c r="D4" s="222"/>
      <c r="E4" s="222"/>
      <c r="F4" s="222"/>
      <c r="G4" s="74">
        <f>'PLAN DE OFERTA'!G28</f>
        <v>0</v>
      </c>
    </row>
    <row r="5" spans="1:7" s="3" customFormat="1" ht="15.6" customHeight="1" thickBot="1" x14ac:dyDescent="0.35">
      <c r="A5" s="132">
        <v>4</v>
      </c>
      <c r="B5" s="222" t="s">
        <v>130</v>
      </c>
      <c r="C5" s="222"/>
      <c r="D5" s="222"/>
      <c r="E5" s="222"/>
      <c r="F5" s="222"/>
      <c r="G5" s="74">
        <f>'PLAN DE OFERTA'!G35</f>
        <v>0</v>
      </c>
    </row>
    <row r="6" spans="1:7" s="3" customFormat="1" ht="15.6" customHeight="1" thickBot="1" x14ac:dyDescent="0.35">
      <c r="A6" s="132">
        <v>5</v>
      </c>
      <c r="B6" s="222" t="s">
        <v>131</v>
      </c>
      <c r="C6" s="222"/>
      <c r="D6" s="222"/>
      <c r="E6" s="222"/>
      <c r="F6" s="222"/>
      <c r="G6" s="75">
        <f>'PLAN DE OFERTA'!G72</f>
        <v>0</v>
      </c>
    </row>
    <row r="7" spans="1:7" s="3" customFormat="1" ht="15.6" customHeight="1" thickBot="1" x14ac:dyDescent="0.35">
      <c r="A7" s="132">
        <v>6</v>
      </c>
      <c r="B7" s="225" t="s">
        <v>132</v>
      </c>
      <c r="C7" s="226"/>
      <c r="D7" s="226"/>
      <c r="E7" s="226"/>
      <c r="F7" s="227"/>
      <c r="G7" s="75">
        <f>'PLAN DE OFERTA'!G74</f>
        <v>0</v>
      </c>
    </row>
    <row r="8" spans="1:7" ht="16.2" thickBot="1" x14ac:dyDescent="0.35">
      <c r="A8" s="223" t="s">
        <v>121</v>
      </c>
      <c r="B8" s="223"/>
      <c r="C8" s="223"/>
      <c r="D8" s="223"/>
      <c r="E8" s="223"/>
      <c r="F8" s="223"/>
      <c r="G8" s="76">
        <f>SUM(G2:G7)</f>
        <v>0</v>
      </c>
    </row>
    <row r="9" spans="1:7" ht="16.2" thickBot="1" x14ac:dyDescent="0.35">
      <c r="A9" s="223" t="s">
        <v>133</v>
      </c>
      <c r="B9" s="223"/>
      <c r="C9" s="223"/>
      <c r="D9" s="223"/>
      <c r="E9" s="223"/>
      <c r="F9" s="223"/>
      <c r="G9" s="76">
        <f>0.1*G8</f>
        <v>0</v>
      </c>
    </row>
    <row r="10" spans="1:7" ht="16.2" thickBot="1" x14ac:dyDescent="0.35">
      <c r="A10" s="223" t="s">
        <v>134</v>
      </c>
      <c r="B10" s="223"/>
      <c r="C10" s="223"/>
      <c r="D10" s="223"/>
      <c r="E10" s="223"/>
      <c r="F10" s="223"/>
      <c r="G10" s="77">
        <f>0.4*G8</f>
        <v>0</v>
      </c>
    </row>
    <row r="11" spans="1:7" ht="16.2" thickBot="1" x14ac:dyDescent="0.35">
      <c r="A11" s="223" t="s">
        <v>135</v>
      </c>
      <c r="B11" s="223"/>
      <c r="C11" s="223"/>
      <c r="D11" s="223"/>
      <c r="E11" s="223"/>
      <c r="F11" s="223"/>
      <c r="G11" s="77">
        <f>SUM(G8:G10)</f>
        <v>0</v>
      </c>
    </row>
    <row r="12" spans="1:7" ht="16.2" thickBot="1" x14ac:dyDescent="0.35">
      <c r="A12" s="223" t="s">
        <v>136</v>
      </c>
      <c r="B12" s="223"/>
      <c r="C12" s="223"/>
      <c r="D12" s="223"/>
      <c r="E12" s="223"/>
      <c r="F12" s="223"/>
      <c r="G12" s="77">
        <f>0.13*G11</f>
        <v>0</v>
      </c>
    </row>
    <row r="13" spans="1:7" ht="16.2" thickBot="1" x14ac:dyDescent="0.35">
      <c r="A13" s="223" t="s">
        <v>123</v>
      </c>
      <c r="B13" s="223"/>
      <c r="C13" s="223"/>
      <c r="D13" s="223"/>
      <c r="E13" s="223"/>
      <c r="F13" s="223"/>
      <c r="G13" s="77">
        <f>SUM(G11:G12)</f>
        <v>0</v>
      </c>
    </row>
    <row r="14" spans="1:7" ht="16.2" thickBot="1" x14ac:dyDescent="0.35">
      <c r="A14" s="223" t="s">
        <v>137</v>
      </c>
      <c r="B14" s="223"/>
      <c r="C14" s="223"/>
      <c r="D14" s="223"/>
      <c r="E14" s="223"/>
      <c r="F14" s="223"/>
      <c r="G14" s="77">
        <f>0.05*G13</f>
        <v>0</v>
      </c>
    </row>
    <row r="15" spans="1:7" ht="16.2" thickBot="1" x14ac:dyDescent="0.35">
      <c r="A15" s="220" t="s">
        <v>124</v>
      </c>
      <c r="B15" s="220"/>
      <c r="C15" s="220"/>
      <c r="D15" s="220"/>
      <c r="E15" s="220"/>
      <c r="F15" s="220"/>
      <c r="G15" s="78">
        <f>SUM(G13:G14)</f>
        <v>0</v>
      </c>
    </row>
  </sheetData>
  <mergeCells count="15">
    <mergeCell ref="A15:F15"/>
    <mergeCell ref="B1:F1"/>
    <mergeCell ref="B4:F4"/>
    <mergeCell ref="B5:F5"/>
    <mergeCell ref="A8:F8"/>
    <mergeCell ref="B2:F2"/>
    <mergeCell ref="B3:F3"/>
    <mergeCell ref="A14:F14"/>
    <mergeCell ref="A10:F10"/>
    <mergeCell ref="A11:F11"/>
    <mergeCell ref="A12:F12"/>
    <mergeCell ref="A9:F9"/>
    <mergeCell ref="A13:F13"/>
    <mergeCell ref="B6:F6"/>
    <mergeCell ref="B7:F7"/>
  </mergeCells>
  <pageMargins left="0.7" right="0.7" top="0.75" bottom="0.75" header="0.3" footer="0.3"/>
  <pageSetup orientation="portrait" r:id="rId1"/>
  <ignoredErrors>
    <ignoredError sqref="G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
  <sheetViews>
    <sheetView workbookViewId="0">
      <selection activeCell="A15" sqref="A15:B15"/>
    </sheetView>
  </sheetViews>
  <sheetFormatPr baseColWidth="10" defaultColWidth="11.44140625" defaultRowHeight="14.4" x14ac:dyDescent="0.3"/>
  <cols>
    <col min="2" max="2" width="27.5546875" customWidth="1"/>
  </cols>
  <sheetData>
    <row r="1" spans="1:6" ht="25.8" thickBot="1" x14ac:dyDescent="0.35">
      <c r="A1" s="228" t="s">
        <v>0</v>
      </c>
      <c r="B1" s="228"/>
      <c r="C1" s="228"/>
      <c r="D1" s="228"/>
      <c r="E1" s="228"/>
      <c r="F1" s="228"/>
    </row>
    <row r="2" spans="1:6" ht="21" thickBot="1" x14ac:dyDescent="0.35">
      <c r="A2" s="229" t="s">
        <v>138</v>
      </c>
      <c r="B2" s="229"/>
      <c r="C2" s="229"/>
      <c r="D2" s="229"/>
      <c r="E2" s="229"/>
      <c r="F2" s="229"/>
    </row>
    <row r="3" spans="1:6" ht="47.4" thickBot="1" x14ac:dyDescent="0.35">
      <c r="A3" s="21" t="s">
        <v>4</v>
      </c>
      <c r="B3" s="21" t="s">
        <v>139</v>
      </c>
      <c r="C3" s="21" t="s">
        <v>32</v>
      </c>
      <c r="D3" s="21" t="s">
        <v>7</v>
      </c>
      <c r="E3" s="21" t="s">
        <v>140</v>
      </c>
      <c r="F3" s="21" t="s">
        <v>141</v>
      </c>
    </row>
    <row r="4" spans="1:6" ht="15" thickBot="1" x14ac:dyDescent="0.35">
      <c r="A4" s="114" t="s">
        <v>142</v>
      </c>
      <c r="B4" s="121" t="s">
        <v>95</v>
      </c>
      <c r="C4" s="119" t="s">
        <v>15</v>
      </c>
      <c r="D4" s="119">
        <v>107.5</v>
      </c>
      <c r="E4" s="120">
        <f>3.17/1.6385</f>
        <v>1.9346963686298442</v>
      </c>
      <c r="F4" s="120">
        <f>D4*E4</f>
        <v>207.97985962770824</v>
      </c>
    </row>
    <row r="5" spans="1:6" ht="40.200000000000003" thickBot="1" x14ac:dyDescent="0.35">
      <c r="A5" s="114" t="s">
        <v>143</v>
      </c>
      <c r="B5" s="115" t="s">
        <v>97</v>
      </c>
      <c r="C5" s="122" t="s">
        <v>98</v>
      </c>
      <c r="D5" s="119">
        <v>21.5</v>
      </c>
      <c r="E5" s="116">
        <f>123.45/1.6385</f>
        <v>75.343301800427213</v>
      </c>
      <c r="F5" s="129">
        <f>D5*E5</f>
        <v>1619.880988709185</v>
      </c>
    </row>
    <row r="6" spans="1:6" ht="53.4" thickBot="1" x14ac:dyDescent="0.35">
      <c r="A6" s="114" t="s">
        <v>144</v>
      </c>
      <c r="B6" s="115" t="s">
        <v>102</v>
      </c>
      <c r="C6" s="119" t="s">
        <v>15</v>
      </c>
      <c r="D6" s="119">
        <v>107.5</v>
      </c>
      <c r="E6" s="116">
        <f>65.84/1.6385</f>
        <v>40.183094293561183</v>
      </c>
      <c r="F6" s="120">
        <f>D6*E6</f>
        <v>4319.6826365578272</v>
      </c>
    </row>
    <row r="7" spans="1:6" ht="93" thickBot="1" x14ac:dyDescent="0.35">
      <c r="A7" s="114" t="s">
        <v>145</v>
      </c>
      <c r="B7" s="123" t="s">
        <v>146</v>
      </c>
      <c r="C7" s="119" t="s">
        <v>15</v>
      </c>
      <c r="D7" s="119">
        <v>107.5</v>
      </c>
      <c r="E7" s="120">
        <f>6.8/1.6385</f>
        <v>4.1501373207201704</v>
      </c>
      <c r="F7" s="120">
        <f>D7*E7</f>
        <v>446.13976197741829</v>
      </c>
    </row>
    <row r="8" spans="1:6" ht="53.4" thickBot="1" x14ac:dyDescent="0.35">
      <c r="A8" s="114" t="s">
        <v>147</v>
      </c>
      <c r="B8" s="123" t="s">
        <v>148</v>
      </c>
      <c r="C8" s="119" t="s">
        <v>15</v>
      </c>
      <c r="D8" s="119">
        <v>107.5</v>
      </c>
      <c r="E8" s="120">
        <f>28.66/1.6385</f>
        <v>17.491608178211777</v>
      </c>
      <c r="F8" s="120">
        <f>D8*E8</f>
        <v>1880.3478791577661</v>
      </c>
    </row>
    <row r="9" spans="1:6" x14ac:dyDescent="0.3">
      <c r="A9" s="230" t="s">
        <v>149</v>
      </c>
      <c r="B9" s="230"/>
      <c r="C9" s="230"/>
      <c r="D9" s="230"/>
      <c r="E9" s="230"/>
      <c r="F9" s="111">
        <f>(SUM(F4:F8)/107.5)</f>
        <v>78.828196521208412</v>
      </c>
    </row>
  </sheetData>
  <mergeCells count="3">
    <mergeCell ref="A1:F1"/>
    <mergeCell ref="A2:F2"/>
    <mergeCell ref="A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1"/>
  <sheetViews>
    <sheetView zoomScale="70" zoomScaleNormal="70" workbookViewId="0">
      <selection activeCell="A15" sqref="A15:B15"/>
    </sheetView>
  </sheetViews>
  <sheetFormatPr baseColWidth="10" defaultColWidth="11.44140625" defaultRowHeight="14.4" x14ac:dyDescent="0.3"/>
  <cols>
    <col min="2" max="2" width="25.5546875" customWidth="1"/>
  </cols>
  <sheetData>
    <row r="1" spans="1:7" ht="25.8" thickBot="1" x14ac:dyDescent="0.35">
      <c r="A1" s="228" t="s">
        <v>0</v>
      </c>
      <c r="B1" s="228"/>
      <c r="C1" s="228"/>
      <c r="D1" s="228"/>
      <c r="E1" s="228"/>
      <c r="F1" s="228"/>
      <c r="G1" s="228"/>
    </row>
    <row r="2" spans="1:7" ht="46.2" customHeight="1" thickBot="1" x14ac:dyDescent="0.35">
      <c r="A2" s="229" t="s">
        <v>150</v>
      </c>
      <c r="B2" s="229"/>
      <c r="C2" s="229"/>
      <c r="D2" s="229"/>
      <c r="E2" s="229"/>
      <c r="F2" s="229"/>
      <c r="G2" s="229"/>
    </row>
    <row r="3" spans="1:7" ht="47.4" thickBot="1" x14ac:dyDescent="0.35">
      <c r="A3" s="21" t="s">
        <v>4</v>
      </c>
      <c r="B3" s="21" t="s">
        <v>139</v>
      </c>
      <c r="C3" s="21" t="s">
        <v>32</v>
      </c>
      <c r="D3" s="21" t="s">
        <v>7</v>
      </c>
      <c r="E3" s="21" t="s">
        <v>140</v>
      </c>
      <c r="F3" s="21" t="s">
        <v>141</v>
      </c>
      <c r="G3" s="21" t="s">
        <v>151</v>
      </c>
    </row>
    <row r="4" spans="1:7" ht="16.2" thickBot="1" x14ac:dyDescent="0.35">
      <c r="A4" s="64" t="s">
        <v>152</v>
      </c>
      <c r="B4" s="232" t="s">
        <v>153</v>
      </c>
      <c r="C4" s="232"/>
      <c r="D4" s="232"/>
      <c r="E4" s="232"/>
      <c r="F4" s="232"/>
      <c r="G4" s="100">
        <f>SUM(F6:F11)+SUM(F13:F18)+SUM(F20:F28)+SUM(F30:F32)+SUM(F34:F36)+SUM(F38:F40)+SUM(F42:F50)</f>
        <v>30652.63356961104</v>
      </c>
    </row>
    <row r="5" spans="1:7" ht="15" thickBot="1" x14ac:dyDescent="0.35">
      <c r="A5" s="11" t="s">
        <v>154</v>
      </c>
      <c r="B5" s="231" t="s">
        <v>88</v>
      </c>
      <c r="C5" s="231"/>
      <c r="D5" s="231"/>
      <c r="E5" s="231"/>
      <c r="F5" s="231"/>
      <c r="G5" s="231"/>
    </row>
    <row r="6" spans="1:7" ht="15" thickBot="1" x14ac:dyDescent="0.35">
      <c r="A6" s="12" t="s">
        <v>155</v>
      </c>
      <c r="B6" s="16" t="s">
        <v>95</v>
      </c>
      <c r="C6" s="13" t="s">
        <v>15</v>
      </c>
      <c r="D6" s="13">
        <f>15+19.5</f>
        <v>34.5</v>
      </c>
      <c r="E6" s="14">
        <f>3.17/1.6385</f>
        <v>1.9346963686298442</v>
      </c>
      <c r="F6" s="14">
        <f>D6*E6</f>
        <v>66.74702471772963</v>
      </c>
      <c r="G6" s="13"/>
    </row>
    <row r="7" spans="1:7" ht="43.95" customHeight="1" thickBot="1" x14ac:dyDescent="0.35">
      <c r="A7" s="12" t="s">
        <v>156</v>
      </c>
      <c r="B7" s="15" t="s">
        <v>157</v>
      </c>
      <c r="C7" s="13" t="s">
        <v>29</v>
      </c>
      <c r="D7" s="13">
        <v>1.47</v>
      </c>
      <c r="E7" s="14">
        <f>22.39/1.6385</f>
        <v>13.664937442783033</v>
      </c>
      <c r="F7" s="14">
        <f t="shared" ref="F7:F11" si="0">D7*E7</f>
        <v>20.087458040891057</v>
      </c>
      <c r="G7" s="13"/>
    </row>
    <row r="8" spans="1:7" ht="80.099999999999994" customHeight="1" thickBot="1" x14ac:dyDescent="0.35">
      <c r="A8" s="12" t="s">
        <v>158</v>
      </c>
      <c r="B8" s="15" t="s">
        <v>159</v>
      </c>
      <c r="C8" s="13" t="s">
        <v>29</v>
      </c>
      <c r="D8" s="13">
        <v>2</v>
      </c>
      <c r="E8" s="14">
        <f>40.64/1.6385</f>
        <v>24.803173634421725</v>
      </c>
      <c r="F8" s="14">
        <f t="shared" si="0"/>
        <v>49.60634726884345</v>
      </c>
      <c r="G8" s="13"/>
    </row>
    <row r="9" spans="1:7" ht="54.9" customHeight="1" thickBot="1" x14ac:dyDescent="0.35">
      <c r="A9" s="12" t="s">
        <v>160</v>
      </c>
      <c r="B9" s="9" t="s">
        <v>161</v>
      </c>
      <c r="C9" s="13" t="s">
        <v>29</v>
      </c>
      <c r="D9" s="13">
        <v>7.6</v>
      </c>
      <c r="E9" s="14">
        <f>645.31/1.6385</f>
        <v>393.84192859322548</v>
      </c>
      <c r="F9" s="14">
        <f t="shared" si="0"/>
        <v>2993.1986573085132</v>
      </c>
      <c r="G9" s="13"/>
    </row>
    <row r="10" spans="1:7" ht="67.5" customHeight="1" thickBot="1" x14ac:dyDescent="0.35">
      <c r="A10" s="12" t="s">
        <v>162</v>
      </c>
      <c r="B10" s="9" t="s">
        <v>163</v>
      </c>
      <c r="C10" s="13" t="s">
        <v>15</v>
      </c>
      <c r="D10" s="13">
        <v>25.2</v>
      </c>
      <c r="E10" s="14">
        <f>73.12/1.6385</f>
        <v>44.62618248397925</v>
      </c>
      <c r="F10" s="14">
        <f t="shared" si="0"/>
        <v>1124.579798596277</v>
      </c>
      <c r="G10" s="13"/>
    </row>
    <row r="11" spans="1:7" ht="37.200000000000003" customHeight="1" thickBot="1" x14ac:dyDescent="0.35">
      <c r="A11" s="12" t="s">
        <v>164</v>
      </c>
      <c r="B11" s="15" t="s">
        <v>165</v>
      </c>
      <c r="C11" s="13" t="s">
        <v>15</v>
      </c>
      <c r="D11" s="13">
        <v>19.5</v>
      </c>
      <c r="E11" s="14">
        <f>72.61/1.6385</f>
        <v>44.314922184925237</v>
      </c>
      <c r="F11" s="14">
        <f t="shared" si="0"/>
        <v>864.14098260604214</v>
      </c>
      <c r="G11" s="13"/>
    </row>
    <row r="12" spans="1:7" ht="15" thickBot="1" x14ac:dyDescent="0.35">
      <c r="A12" s="17" t="s">
        <v>166</v>
      </c>
      <c r="B12" s="233" t="s">
        <v>167</v>
      </c>
      <c r="C12" s="233"/>
      <c r="D12" s="233"/>
      <c r="E12" s="233"/>
      <c r="F12" s="233"/>
      <c r="G12" s="233"/>
    </row>
    <row r="13" spans="1:7" ht="372.45" customHeight="1" thickBot="1" x14ac:dyDescent="0.35">
      <c r="A13" s="12" t="s">
        <v>168</v>
      </c>
      <c r="B13" s="18" t="s">
        <v>169</v>
      </c>
      <c r="C13" s="13" t="s">
        <v>15</v>
      </c>
      <c r="D13" s="13">
        <v>86.07</v>
      </c>
      <c r="E13" s="14">
        <f>227.24/1.6385</f>
        <v>138.68782422947817</v>
      </c>
      <c r="F13" s="79">
        <f>D13*E13</f>
        <v>11936.861031431185</v>
      </c>
      <c r="G13" s="13"/>
    </row>
    <row r="14" spans="1:7" ht="97.2" customHeight="1" thickBot="1" x14ac:dyDescent="0.35">
      <c r="A14" s="12" t="s">
        <v>170</v>
      </c>
      <c r="B14" s="9" t="s">
        <v>171</v>
      </c>
      <c r="C14" s="13" t="s">
        <v>24</v>
      </c>
      <c r="D14" s="13">
        <v>18</v>
      </c>
      <c r="E14" s="14">
        <f>65.28/1.6385</f>
        <v>39.84131827891364</v>
      </c>
      <c r="F14" s="14">
        <f>D14*E14</f>
        <v>717.14372902044556</v>
      </c>
      <c r="G14" s="13"/>
    </row>
    <row r="15" spans="1:7" ht="37.200000000000003" customHeight="1" thickBot="1" x14ac:dyDescent="0.35">
      <c r="A15" s="12"/>
      <c r="B15" s="6" t="s">
        <v>172</v>
      </c>
      <c r="C15" s="7" t="s">
        <v>15</v>
      </c>
      <c r="D15" s="5">
        <v>0</v>
      </c>
      <c r="E15" s="8">
        <f>23.02</f>
        <v>23.02</v>
      </c>
      <c r="F15" s="26">
        <f>D15*E15</f>
        <v>0</v>
      </c>
      <c r="G15" s="13"/>
    </row>
    <row r="16" spans="1:7" ht="34.5" customHeight="1" thickBot="1" x14ac:dyDescent="0.35">
      <c r="A16" s="12"/>
      <c r="B16" s="6" t="s">
        <v>173</v>
      </c>
      <c r="C16" s="7" t="s">
        <v>15</v>
      </c>
      <c r="D16" s="5">
        <v>0</v>
      </c>
      <c r="E16" s="8">
        <f>17.55</f>
        <v>17.55</v>
      </c>
      <c r="F16" s="26">
        <f t="shared" ref="F16:F18" si="1">D16*E16</f>
        <v>0</v>
      </c>
      <c r="G16" s="13"/>
    </row>
    <row r="17" spans="1:7" ht="54.9" customHeight="1" thickBot="1" x14ac:dyDescent="0.35">
      <c r="A17" s="12"/>
      <c r="B17" s="6" t="s">
        <v>174</v>
      </c>
      <c r="C17" s="7" t="s">
        <v>15</v>
      </c>
      <c r="D17" s="5">
        <v>0</v>
      </c>
      <c r="E17" s="8">
        <f>9.7</f>
        <v>9.6999999999999993</v>
      </c>
      <c r="F17" s="26">
        <f t="shared" si="1"/>
        <v>0</v>
      </c>
      <c r="G17" s="13"/>
    </row>
    <row r="18" spans="1:7" ht="118.2" customHeight="1" thickBot="1" x14ac:dyDescent="0.35">
      <c r="A18" s="12"/>
      <c r="B18" s="1" t="s">
        <v>175</v>
      </c>
      <c r="C18" s="130" t="s">
        <v>24</v>
      </c>
      <c r="D18" s="5">
        <v>15</v>
      </c>
      <c r="E18" s="46">
        <f>210.179820253846/1.6385</f>
        <v>128.27575236731522</v>
      </c>
      <c r="F18" s="26">
        <f t="shared" si="1"/>
        <v>1924.1362855097284</v>
      </c>
      <c r="G18" s="13"/>
    </row>
    <row r="19" spans="1:7" ht="15" thickBot="1" x14ac:dyDescent="0.35">
      <c r="A19" s="11" t="s">
        <v>176</v>
      </c>
      <c r="B19" s="231" t="s">
        <v>74</v>
      </c>
      <c r="C19" s="231"/>
      <c r="D19" s="231"/>
      <c r="E19" s="231"/>
      <c r="F19" s="231"/>
      <c r="G19" s="231"/>
    </row>
    <row r="20" spans="1:7" ht="83.1" customHeight="1" thickBot="1" x14ac:dyDescent="0.35">
      <c r="A20" s="12" t="s">
        <v>177</v>
      </c>
      <c r="B20" s="9" t="s">
        <v>178</v>
      </c>
      <c r="C20" s="13" t="s">
        <v>15</v>
      </c>
      <c r="D20" s="13">
        <v>79.2</v>
      </c>
      <c r="E20" s="14">
        <f>62.99/1.6385</f>
        <v>38.443698504729937</v>
      </c>
      <c r="F20" s="14">
        <f>D20*E20</f>
        <v>3044.7409215746111</v>
      </c>
      <c r="G20" s="13"/>
    </row>
    <row r="21" spans="1:7" ht="85.5" customHeight="1" thickBot="1" x14ac:dyDescent="0.35">
      <c r="A21" s="12" t="s">
        <v>179</v>
      </c>
      <c r="B21" s="9" t="s">
        <v>180</v>
      </c>
      <c r="C21" s="13" t="s">
        <v>15</v>
      </c>
      <c r="D21" s="13">
        <v>3.4</v>
      </c>
      <c r="E21" s="14">
        <f>62.99/1.6385</f>
        <v>38.443698504729937</v>
      </c>
      <c r="F21" s="14">
        <f>D21*E21</f>
        <v>130.70857491608177</v>
      </c>
      <c r="G21" s="13"/>
    </row>
    <row r="22" spans="1:7" ht="45.9" customHeight="1" thickBot="1" x14ac:dyDescent="0.35">
      <c r="A22" s="12" t="s">
        <v>181</v>
      </c>
      <c r="B22" s="9" t="s">
        <v>182</v>
      </c>
      <c r="C22" s="13" t="s">
        <v>24</v>
      </c>
      <c r="D22" s="13">
        <v>0</v>
      </c>
      <c r="E22" s="14">
        <f>41.19/1.6385</f>
        <v>25.138846505950561</v>
      </c>
      <c r="F22" s="14">
        <f t="shared" ref="F22:F28" si="2">D22*E22</f>
        <v>0</v>
      </c>
      <c r="G22" s="13"/>
    </row>
    <row r="23" spans="1:7" ht="55.95" customHeight="1" thickBot="1" x14ac:dyDescent="0.35">
      <c r="A23" s="12" t="s">
        <v>183</v>
      </c>
      <c r="B23" s="9" t="s">
        <v>184</v>
      </c>
      <c r="C23" s="13" t="s">
        <v>24</v>
      </c>
      <c r="D23" s="13">
        <v>58.5</v>
      </c>
      <c r="E23" s="14">
        <f>11.07/1.6385</f>
        <v>6.7561794324076896</v>
      </c>
      <c r="F23" s="14">
        <f t="shared" si="2"/>
        <v>395.23649679584986</v>
      </c>
      <c r="G23" s="13"/>
    </row>
    <row r="24" spans="1:7" ht="77.400000000000006" customHeight="1" thickBot="1" x14ac:dyDescent="0.35">
      <c r="A24" s="12" t="s">
        <v>185</v>
      </c>
      <c r="B24" s="9" t="s">
        <v>186</v>
      </c>
      <c r="C24" s="13" t="s">
        <v>15</v>
      </c>
      <c r="D24" s="13">
        <v>50.4</v>
      </c>
      <c r="E24" s="14">
        <f>22.34/1.6385</f>
        <v>13.634421727189501</v>
      </c>
      <c r="F24" s="14">
        <f t="shared" si="2"/>
        <v>687.17485505035086</v>
      </c>
      <c r="G24" s="13"/>
    </row>
    <row r="25" spans="1:7" ht="60" customHeight="1" thickBot="1" x14ac:dyDescent="0.35">
      <c r="A25" s="12" t="s">
        <v>187</v>
      </c>
      <c r="B25" s="9" t="s">
        <v>188</v>
      </c>
      <c r="C25" s="13" t="s">
        <v>15</v>
      </c>
      <c r="D25" s="13">
        <v>50.4</v>
      </c>
      <c r="E25" s="14">
        <f>7.56/1.6385</f>
        <v>4.6139761977418363</v>
      </c>
      <c r="F25" s="14">
        <f t="shared" si="2"/>
        <v>232.54440036618854</v>
      </c>
      <c r="G25" s="13"/>
    </row>
    <row r="26" spans="1:7" ht="67.95" customHeight="1" thickBot="1" x14ac:dyDescent="0.35">
      <c r="A26" s="12" t="s">
        <v>189</v>
      </c>
      <c r="B26" s="9" t="s">
        <v>190</v>
      </c>
      <c r="C26" s="13" t="s">
        <v>15</v>
      </c>
      <c r="D26" s="13">
        <v>88.3</v>
      </c>
      <c r="E26" s="14">
        <f>10.59/1.6385</f>
        <v>6.4632285627097952</v>
      </c>
      <c r="F26" s="14">
        <f t="shared" si="2"/>
        <v>570.70308208727488</v>
      </c>
      <c r="G26" s="13"/>
    </row>
    <row r="27" spans="1:7" ht="87" customHeight="1" thickBot="1" x14ac:dyDescent="0.35">
      <c r="A27" s="12" t="s">
        <v>191</v>
      </c>
      <c r="B27" s="9" t="s">
        <v>192</v>
      </c>
      <c r="C27" s="13" t="s">
        <v>15</v>
      </c>
      <c r="D27" s="13">
        <v>88.3</v>
      </c>
      <c r="E27" s="14">
        <f>9.97/1.6385</f>
        <v>6.084833689350015</v>
      </c>
      <c r="F27" s="14">
        <f t="shared" si="2"/>
        <v>537.2908147696063</v>
      </c>
      <c r="G27" s="13"/>
    </row>
    <row r="28" spans="1:7" ht="143.4" customHeight="1" thickBot="1" x14ac:dyDescent="0.35">
      <c r="A28" s="12" t="s">
        <v>193</v>
      </c>
      <c r="B28" s="9" t="s">
        <v>194</v>
      </c>
      <c r="C28" s="13" t="s">
        <v>15</v>
      </c>
      <c r="D28" s="13">
        <v>11.1</v>
      </c>
      <c r="E28" s="14">
        <f>55.2/1.6385</f>
        <v>33.689350015257858</v>
      </c>
      <c r="F28" s="14">
        <f t="shared" si="2"/>
        <v>373.95178516936221</v>
      </c>
      <c r="G28" s="13"/>
    </row>
    <row r="29" spans="1:7" ht="15" thickBot="1" x14ac:dyDescent="0.35">
      <c r="A29" s="11" t="s">
        <v>195</v>
      </c>
      <c r="B29" s="231" t="s">
        <v>196</v>
      </c>
      <c r="C29" s="231"/>
      <c r="D29" s="231"/>
      <c r="E29" s="231"/>
      <c r="F29" s="231"/>
      <c r="G29" s="231"/>
    </row>
    <row r="30" spans="1:7" ht="40.200000000000003" customHeight="1" thickBot="1" x14ac:dyDescent="0.35">
      <c r="A30" s="12" t="s">
        <v>197</v>
      </c>
      <c r="B30" s="9" t="s">
        <v>198</v>
      </c>
      <c r="C30" s="13" t="s">
        <v>15</v>
      </c>
      <c r="D30" s="65">
        <v>3.28</v>
      </c>
      <c r="E30" s="10">
        <f>15.99/1.6385</f>
        <v>9.758925846811108</v>
      </c>
      <c r="F30" s="19">
        <f>D30*E30</f>
        <v>32.009276777540435</v>
      </c>
      <c r="G30" s="13"/>
    </row>
    <row r="31" spans="1:7" ht="83.1" customHeight="1" thickBot="1" x14ac:dyDescent="0.35">
      <c r="A31" s="12" t="s">
        <v>199</v>
      </c>
      <c r="B31" s="9" t="s">
        <v>200</v>
      </c>
      <c r="C31" s="13" t="s">
        <v>15</v>
      </c>
      <c r="D31" s="65">
        <v>3.28</v>
      </c>
      <c r="E31" s="10">
        <f>81.93/1.6385</f>
        <v>50.003051571559354</v>
      </c>
      <c r="F31" s="14">
        <f t="shared" ref="F31:F32" si="3">D31*E31</f>
        <v>164.01000915471468</v>
      </c>
      <c r="G31" s="13"/>
    </row>
    <row r="32" spans="1:7" ht="112.95" customHeight="1" thickBot="1" x14ac:dyDescent="0.35">
      <c r="A32" s="12" t="s">
        <v>201</v>
      </c>
      <c r="B32" s="9" t="s">
        <v>202</v>
      </c>
      <c r="C32" s="13" t="s">
        <v>15</v>
      </c>
      <c r="D32" s="65">
        <v>3.28</v>
      </c>
      <c r="E32" s="10">
        <f>271.42/1.6385</f>
        <v>165.65151052792189</v>
      </c>
      <c r="F32" s="14">
        <f t="shared" si="3"/>
        <v>543.33695453158373</v>
      </c>
      <c r="G32" s="13"/>
    </row>
    <row r="33" spans="1:7" ht="15" thickBot="1" x14ac:dyDescent="0.35">
      <c r="A33" s="17" t="s">
        <v>203</v>
      </c>
      <c r="B33" s="233" t="s">
        <v>204</v>
      </c>
      <c r="C33" s="233"/>
      <c r="D33" s="233"/>
      <c r="E33" s="233"/>
      <c r="F33" s="233"/>
      <c r="G33" s="233"/>
    </row>
    <row r="34" spans="1:7" ht="62.4" customHeight="1" thickBot="1" x14ac:dyDescent="0.35">
      <c r="A34" s="12" t="s">
        <v>205</v>
      </c>
      <c r="B34" s="9" t="s">
        <v>206</v>
      </c>
      <c r="C34" s="13" t="s">
        <v>36</v>
      </c>
      <c r="D34" s="13">
        <v>2</v>
      </c>
      <c r="E34" s="10">
        <f>348.84/1.6385</f>
        <v>212.90204455294474</v>
      </c>
      <c r="F34" s="14">
        <f>D34*E34</f>
        <v>425.80408910588949</v>
      </c>
      <c r="G34" s="13"/>
    </row>
    <row r="35" spans="1:7" ht="132" customHeight="1" thickBot="1" x14ac:dyDescent="0.35">
      <c r="A35" s="12" t="s">
        <v>207</v>
      </c>
      <c r="B35" s="9" t="s">
        <v>208</v>
      </c>
      <c r="C35" s="13" t="s">
        <v>36</v>
      </c>
      <c r="D35" s="13">
        <v>1</v>
      </c>
      <c r="E35" s="10">
        <f>415.21/1.6385</f>
        <v>253.40860543179735</v>
      </c>
      <c r="F35" s="14">
        <f t="shared" ref="F35:F36" si="4">D35*E35</f>
        <v>253.40860543179735</v>
      </c>
      <c r="G35" s="13"/>
    </row>
    <row r="36" spans="1:7" ht="213.6" customHeight="1" thickBot="1" x14ac:dyDescent="0.35">
      <c r="A36" s="12" t="s">
        <v>209</v>
      </c>
      <c r="B36" s="9" t="s">
        <v>210</v>
      </c>
      <c r="C36" s="13" t="s">
        <v>36</v>
      </c>
      <c r="D36" s="13">
        <v>1</v>
      </c>
      <c r="E36" s="10">
        <f>753.71/1.6385</f>
        <v>460</v>
      </c>
      <c r="F36" s="14">
        <f t="shared" si="4"/>
        <v>460</v>
      </c>
      <c r="G36" s="13"/>
    </row>
    <row r="37" spans="1:7" ht="15" thickBot="1" x14ac:dyDescent="0.35">
      <c r="A37" s="17" t="s">
        <v>211</v>
      </c>
      <c r="B37" s="233" t="s">
        <v>212</v>
      </c>
      <c r="C37" s="233"/>
      <c r="D37" s="233"/>
      <c r="E37" s="233"/>
      <c r="F37" s="233"/>
      <c r="G37" s="233"/>
    </row>
    <row r="38" spans="1:7" ht="107.1" customHeight="1" thickBot="1" x14ac:dyDescent="0.35">
      <c r="A38" s="12" t="s">
        <v>213</v>
      </c>
      <c r="B38" s="9" t="s">
        <v>214</v>
      </c>
      <c r="C38" s="13" t="s">
        <v>36</v>
      </c>
      <c r="D38" s="13">
        <v>1</v>
      </c>
      <c r="E38" s="10">
        <f>470.84/1.6385</f>
        <v>287.36039060115957</v>
      </c>
      <c r="F38" s="14">
        <f>D38*E38</f>
        <v>287.36039060115957</v>
      </c>
      <c r="G38" s="13"/>
    </row>
    <row r="39" spans="1:7" ht="89.1" customHeight="1" thickBot="1" x14ac:dyDescent="0.35">
      <c r="A39" s="12" t="s">
        <v>215</v>
      </c>
      <c r="B39" s="9" t="s">
        <v>216</v>
      </c>
      <c r="C39" s="13" t="s">
        <v>36</v>
      </c>
      <c r="D39" s="13">
        <v>1</v>
      </c>
      <c r="E39" s="10">
        <f>214.13/1.6385</f>
        <v>130.68660360085443</v>
      </c>
      <c r="F39" s="14">
        <f t="shared" ref="F39:F40" si="5">D39*E39</f>
        <v>130.68660360085443</v>
      </c>
      <c r="G39" s="13"/>
    </row>
    <row r="40" spans="1:7" ht="83.4" customHeight="1" thickBot="1" x14ac:dyDescent="0.35">
      <c r="A40" s="12" t="s">
        <v>217</v>
      </c>
      <c r="B40" s="9" t="s">
        <v>218</v>
      </c>
      <c r="C40" s="13" t="s">
        <v>36</v>
      </c>
      <c r="D40" s="13">
        <v>1</v>
      </c>
      <c r="E40" s="10">
        <f>387.56/1.6385</f>
        <v>236.5334147085749</v>
      </c>
      <c r="F40" s="14">
        <f t="shared" si="5"/>
        <v>236.5334147085749</v>
      </c>
      <c r="G40" s="13"/>
    </row>
    <row r="41" spans="1:7" ht="15" thickBot="1" x14ac:dyDescent="0.35">
      <c r="A41" s="11" t="s">
        <v>219</v>
      </c>
      <c r="B41" s="231" t="s">
        <v>220</v>
      </c>
      <c r="C41" s="231"/>
      <c r="D41" s="231"/>
      <c r="E41" s="231"/>
      <c r="F41" s="231"/>
      <c r="G41" s="231"/>
    </row>
    <row r="42" spans="1:7" ht="178.95" customHeight="1" thickBot="1" x14ac:dyDescent="0.35">
      <c r="A42" s="12" t="s">
        <v>221</v>
      </c>
      <c r="B42" s="9" t="s">
        <v>222</v>
      </c>
      <c r="C42" s="13" t="s">
        <v>36</v>
      </c>
      <c r="D42" s="13">
        <v>7</v>
      </c>
      <c r="E42" s="10">
        <f>156.37/1.6385</f>
        <v>95.434848947207811</v>
      </c>
      <c r="F42" s="14">
        <f>D42*E42</f>
        <v>668.04394263045469</v>
      </c>
      <c r="G42" s="13"/>
    </row>
    <row r="43" spans="1:7" ht="123" customHeight="1" thickBot="1" x14ac:dyDescent="0.35">
      <c r="A43" s="12" t="s">
        <v>223</v>
      </c>
      <c r="B43" s="66" t="s">
        <v>224</v>
      </c>
      <c r="C43" s="13" t="s">
        <v>36</v>
      </c>
      <c r="D43" s="32">
        <v>7</v>
      </c>
      <c r="E43" s="28">
        <f>(83.81*1.15)/1.6385</f>
        <v>58.82300884955751</v>
      </c>
      <c r="F43" s="28">
        <f>D43*E43</f>
        <v>411.7610619469026</v>
      </c>
      <c r="G43" s="13"/>
    </row>
    <row r="44" spans="1:7" ht="139.94999999999999" customHeight="1" thickBot="1" x14ac:dyDescent="0.35">
      <c r="A44" s="12" t="s">
        <v>225</v>
      </c>
      <c r="B44" s="66" t="s">
        <v>226</v>
      </c>
      <c r="C44" s="13" t="s">
        <v>36</v>
      </c>
      <c r="D44" s="32">
        <v>4</v>
      </c>
      <c r="E44" s="28">
        <f>92.1/1.6385</f>
        <v>56.209948123283482</v>
      </c>
      <c r="F44" s="28">
        <f>D44*E44</f>
        <v>224.83979249313393</v>
      </c>
      <c r="G44" s="13"/>
    </row>
    <row r="45" spans="1:7" ht="110.1" customHeight="1" thickBot="1" x14ac:dyDescent="0.35">
      <c r="A45" s="12" t="s">
        <v>227</v>
      </c>
      <c r="B45" s="9" t="s">
        <v>228</v>
      </c>
      <c r="C45" s="13" t="s">
        <v>36</v>
      </c>
      <c r="D45" s="13">
        <v>4</v>
      </c>
      <c r="E45" s="10">
        <f>40.29/1.6385</f>
        <v>24.589563625267012</v>
      </c>
      <c r="F45" s="14">
        <f t="shared" ref="F45:F50" si="6">D45*E45</f>
        <v>98.358254501068046</v>
      </c>
      <c r="G45" s="13"/>
    </row>
    <row r="46" spans="1:7" ht="123.9" customHeight="1" thickBot="1" x14ac:dyDescent="0.35">
      <c r="A46" s="12" t="s">
        <v>229</v>
      </c>
      <c r="B46" s="9" t="s">
        <v>230</v>
      </c>
      <c r="C46" s="13" t="s">
        <v>36</v>
      </c>
      <c r="D46" s="13">
        <v>2</v>
      </c>
      <c r="E46" s="67">
        <f>113/1.6385</f>
        <v>68.965517241379303</v>
      </c>
      <c r="F46" s="14">
        <f>D46*E46</f>
        <v>137.93103448275861</v>
      </c>
      <c r="G46" s="13"/>
    </row>
    <row r="47" spans="1:7" ht="129.6" customHeight="1" thickBot="1" x14ac:dyDescent="0.35">
      <c r="A47" s="12" t="s">
        <v>231</v>
      </c>
      <c r="B47" s="9" t="s">
        <v>232</v>
      </c>
      <c r="C47" s="13" t="s">
        <v>36</v>
      </c>
      <c r="D47" s="13">
        <v>3</v>
      </c>
      <c r="E47" s="10">
        <f>243.65/1.6385</f>
        <v>148.70308208727494</v>
      </c>
      <c r="F47" s="14">
        <f t="shared" si="6"/>
        <v>446.10924626182481</v>
      </c>
      <c r="G47" s="13"/>
    </row>
    <row r="48" spans="1:7" ht="125.1" customHeight="1" thickBot="1" x14ac:dyDescent="0.35">
      <c r="A48" s="12" t="s">
        <v>233</v>
      </c>
      <c r="B48" s="9" t="s">
        <v>234</v>
      </c>
      <c r="C48" s="13" t="s">
        <v>36</v>
      </c>
      <c r="D48" s="13">
        <v>2</v>
      </c>
      <c r="E48" s="10">
        <f>247.15/1.6385</f>
        <v>150.83918217882209</v>
      </c>
      <c r="F48" s="14">
        <f t="shared" si="6"/>
        <v>301.67836435764417</v>
      </c>
      <c r="G48" s="13"/>
    </row>
    <row r="49" spans="1:7" ht="63.9" customHeight="1" thickBot="1" x14ac:dyDescent="0.35">
      <c r="A49" s="12" t="s">
        <v>235</v>
      </c>
      <c r="B49" s="9" t="s">
        <v>236</v>
      </c>
      <c r="C49" s="13" t="s">
        <v>36</v>
      </c>
      <c r="D49" s="13">
        <v>2</v>
      </c>
      <c r="E49" s="10">
        <f>65.91/1.6385</f>
        <v>40.225816295392121</v>
      </c>
      <c r="F49" s="14">
        <f t="shared" si="6"/>
        <v>80.451632590784243</v>
      </c>
      <c r="G49" s="13"/>
    </row>
    <row r="50" spans="1:7" ht="132.9" customHeight="1" x14ac:dyDescent="0.3">
      <c r="A50" s="106" t="s">
        <v>237</v>
      </c>
      <c r="B50" s="82" t="s">
        <v>238</v>
      </c>
      <c r="C50" s="83" t="s">
        <v>36</v>
      </c>
      <c r="D50" s="83">
        <v>1</v>
      </c>
      <c r="E50" s="85">
        <f>133.47/1.6385</f>
        <v>81.458651205370757</v>
      </c>
      <c r="F50" s="86">
        <f t="shared" si="6"/>
        <v>81.458651205370757</v>
      </c>
      <c r="G50" s="83"/>
    </row>
    <row r="51" spans="1:7" x14ac:dyDescent="0.3">
      <c r="A51" s="234" t="s">
        <v>149</v>
      </c>
      <c r="B51" s="234"/>
      <c r="C51" s="234"/>
      <c r="D51" s="234"/>
      <c r="E51" s="234"/>
      <c r="F51" s="234"/>
      <c r="G51" s="109">
        <f>G4/86.07</f>
        <v>356.1360935240042</v>
      </c>
    </row>
  </sheetData>
  <mergeCells count="11">
    <mergeCell ref="B29:G29"/>
    <mergeCell ref="B33:G33"/>
    <mergeCell ref="B37:G37"/>
    <mergeCell ref="B41:G41"/>
    <mergeCell ref="A51:F51"/>
    <mergeCell ref="B19:G19"/>
    <mergeCell ref="A1:G1"/>
    <mergeCell ref="A2:G2"/>
    <mergeCell ref="B4:F4"/>
    <mergeCell ref="B5:G5"/>
    <mergeCell ref="B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2"/>
  <sheetViews>
    <sheetView zoomScale="70" zoomScaleNormal="70" workbookViewId="0">
      <selection activeCell="G16" sqref="G16"/>
    </sheetView>
  </sheetViews>
  <sheetFormatPr baseColWidth="10" defaultColWidth="11.44140625" defaultRowHeight="14.4" x14ac:dyDescent="0.3"/>
  <cols>
    <col min="2" max="2" width="35" customWidth="1"/>
  </cols>
  <sheetData>
    <row r="1" spans="1:7" ht="25.8" thickBot="1" x14ac:dyDescent="0.35">
      <c r="A1" s="228" t="s">
        <v>0</v>
      </c>
      <c r="B1" s="228"/>
      <c r="C1" s="228"/>
      <c r="D1" s="228"/>
      <c r="E1" s="228"/>
      <c r="F1" s="228"/>
      <c r="G1" s="228"/>
    </row>
    <row r="2" spans="1:7" ht="50.1" customHeight="1" thickBot="1" x14ac:dyDescent="0.35">
      <c r="A2" s="229" t="s">
        <v>239</v>
      </c>
      <c r="B2" s="229"/>
      <c r="C2" s="229"/>
      <c r="D2" s="229"/>
      <c r="E2" s="229"/>
      <c r="F2" s="229"/>
      <c r="G2" s="229"/>
    </row>
    <row r="3" spans="1:7" ht="78.599999999999994" thickBot="1" x14ac:dyDescent="0.35">
      <c r="A3" s="21" t="s">
        <v>4</v>
      </c>
      <c r="B3" s="21" t="s">
        <v>139</v>
      </c>
      <c r="C3" s="21" t="s">
        <v>32</v>
      </c>
      <c r="D3" s="21" t="s">
        <v>7</v>
      </c>
      <c r="E3" s="21" t="s">
        <v>240</v>
      </c>
      <c r="F3" s="21" t="s">
        <v>141</v>
      </c>
      <c r="G3" s="21" t="s">
        <v>151</v>
      </c>
    </row>
    <row r="4" spans="1:7" ht="15" thickBot="1" x14ac:dyDescent="0.35">
      <c r="A4" s="22"/>
      <c r="B4" s="236" t="s">
        <v>241</v>
      </c>
      <c r="C4" s="236"/>
      <c r="D4" s="236"/>
      <c r="E4" s="236"/>
      <c r="F4" s="236"/>
      <c r="G4" s="23">
        <f>SUM(F5:F9)</f>
        <v>6984.0559999999996</v>
      </c>
    </row>
    <row r="5" spans="1:7" ht="295.95" customHeight="1" thickBot="1" x14ac:dyDescent="0.35">
      <c r="A5" s="24"/>
      <c r="B5" s="25" t="s">
        <v>242</v>
      </c>
      <c r="C5" s="24" t="s">
        <v>243</v>
      </c>
      <c r="D5" s="27">
        <f>17</f>
        <v>17</v>
      </c>
      <c r="E5" s="26">
        <v>183.29</v>
      </c>
      <c r="F5" s="26">
        <f>D5*E5</f>
        <v>3115.93</v>
      </c>
      <c r="G5" s="28"/>
    </row>
    <row r="6" spans="1:7" ht="114.45" customHeight="1" thickBot="1" x14ac:dyDescent="0.35">
      <c r="A6" s="24"/>
      <c r="B6" s="25" t="s">
        <v>171</v>
      </c>
      <c r="C6" s="24" t="s">
        <v>24</v>
      </c>
      <c r="D6" s="27">
        <v>9.1999999999999993</v>
      </c>
      <c r="E6" s="26">
        <v>65.28</v>
      </c>
      <c r="F6" s="26">
        <f t="shared" ref="F6:F9" si="0">D6*E6</f>
        <v>600.57599999999991</v>
      </c>
      <c r="G6" s="28"/>
    </row>
    <row r="7" spans="1:7" ht="41.7" customHeight="1" thickBot="1" x14ac:dyDescent="0.35">
      <c r="A7" s="24"/>
      <c r="B7" s="6" t="s">
        <v>172</v>
      </c>
      <c r="C7" s="7" t="s">
        <v>15</v>
      </c>
      <c r="D7" s="5">
        <v>65</v>
      </c>
      <c r="E7" s="8">
        <f>23.02</f>
        <v>23.02</v>
      </c>
      <c r="F7" s="26">
        <f t="shared" si="0"/>
        <v>1496.3</v>
      </c>
      <c r="G7" s="28"/>
    </row>
    <row r="8" spans="1:7" ht="32.1" customHeight="1" thickBot="1" x14ac:dyDescent="0.35">
      <c r="A8" s="24"/>
      <c r="B8" s="6" t="s">
        <v>173</v>
      </c>
      <c r="C8" s="7" t="s">
        <v>15</v>
      </c>
      <c r="D8" s="5">
        <v>65</v>
      </c>
      <c r="E8" s="8">
        <f>17.55</f>
        <v>17.55</v>
      </c>
      <c r="F8" s="26">
        <f t="shared" si="0"/>
        <v>1140.75</v>
      </c>
      <c r="G8" s="28"/>
    </row>
    <row r="9" spans="1:7" ht="27" customHeight="1" thickBot="1" x14ac:dyDescent="0.35">
      <c r="A9" s="24"/>
      <c r="B9" s="6" t="s">
        <v>174</v>
      </c>
      <c r="C9" s="7" t="s">
        <v>15</v>
      </c>
      <c r="D9" s="5">
        <v>65</v>
      </c>
      <c r="E9" s="8">
        <f>9.7</f>
        <v>9.6999999999999993</v>
      </c>
      <c r="F9" s="26">
        <f t="shared" si="0"/>
        <v>630.5</v>
      </c>
      <c r="G9" s="28"/>
    </row>
    <row r="10" spans="1:7" ht="15" thickBot="1" x14ac:dyDescent="0.35">
      <c r="A10" s="22"/>
      <c r="B10" s="236" t="s">
        <v>244</v>
      </c>
      <c r="C10" s="236"/>
      <c r="D10" s="236"/>
      <c r="E10" s="236"/>
      <c r="F10" s="236"/>
      <c r="G10" s="23">
        <f>SUM(F11)</f>
        <v>448.5</v>
      </c>
    </row>
    <row r="11" spans="1:7" ht="126" customHeight="1" thickBot="1" x14ac:dyDescent="0.35">
      <c r="A11" s="24"/>
      <c r="B11" s="29" t="s">
        <v>245</v>
      </c>
      <c r="C11" s="24" t="s">
        <v>24</v>
      </c>
      <c r="D11" s="27">
        <v>6</v>
      </c>
      <c r="E11" s="26">
        <f>65*1.15</f>
        <v>74.75</v>
      </c>
      <c r="F11" s="26">
        <f>D11*E11</f>
        <v>448.5</v>
      </c>
      <c r="G11" s="28"/>
    </row>
    <row r="12" spans="1:7" ht="15" thickBot="1" x14ac:dyDescent="0.35">
      <c r="A12" s="22"/>
      <c r="B12" s="236" t="s">
        <v>246</v>
      </c>
      <c r="C12" s="236"/>
      <c r="D12" s="236"/>
      <c r="E12" s="236"/>
      <c r="F12" s="236"/>
      <c r="G12" s="23">
        <f>SUM(F13:F19)</f>
        <v>6941.07</v>
      </c>
    </row>
    <row r="13" spans="1:7" ht="194.7" customHeight="1" thickBot="1" x14ac:dyDescent="0.35">
      <c r="A13" s="24"/>
      <c r="B13" s="25" t="s">
        <v>247</v>
      </c>
      <c r="C13" s="24" t="s">
        <v>24</v>
      </c>
      <c r="D13" s="27">
        <v>9.1999999999999993</v>
      </c>
      <c r="E13" s="26">
        <v>274.38</v>
      </c>
      <c r="F13" s="26">
        <f>D13*E13</f>
        <v>2524.2959999999998</v>
      </c>
      <c r="G13" s="28"/>
    </row>
    <row r="14" spans="1:7" ht="68.7" customHeight="1" thickBot="1" x14ac:dyDescent="0.35">
      <c r="A14" s="30"/>
      <c r="B14" s="40" t="s">
        <v>186</v>
      </c>
      <c r="C14" s="24" t="s">
        <v>243</v>
      </c>
      <c r="D14" s="27">
        <v>0</v>
      </c>
      <c r="E14" s="26">
        <v>22.34</v>
      </c>
      <c r="F14" s="26">
        <f t="shared" ref="F14:F19" si="1">D14*E14</f>
        <v>0</v>
      </c>
      <c r="G14" s="28"/>
    </row>
    <row r="15" spans="1:7" ht="63.9" customHeight="1" thickBot="1" x14ac:dyDescent="0.35">
      <c r="A15" s="30"/>
      <c r="B15" s="25" t="s">
        <v>188</v>
      </c>
      <c r="C15" s="24" t="s">
        <v>243</v>
      </c>
      <c r="D15" s="27">
        <v>0</v>
      </c>
      <c r="E15" s="26">
        <v>7.56</v>
      </c>
      <c r="F15" s="26">
        <f t="shared" si="1"/>
        <v>0</v>
      </c>
      <c r="G15" s="28"/>
    </row>
    <row r="16" spans="1:7" ht="81.900000000000006" customHeight="1" thickBot="1" x14ac:dyDescent="0.35">
      <c r="A16" s="30"/>
      <c r="B16" s="25" t="s">
        <v>192</v>
      </c>
      <c r="C16" s="24" t="s">
        <v>243</v>
      </c>
      <c r="D16" s="31">
        <v>37.799999999999997</v>
      </c>
      <c r="E16" s="26">
        <v>9.9700000000000006</v>
      </c>
      <c r="F16" s="26">
        <f t="shared" si="1"/>
        <v>376.86599999999999</v>
      </c>
      <c r="G16" s="28"/>
    </row>
    <row r="17" spans="1:10" ht="85.95" customHeight="1" thickBot="1" x14ac:dyDescent="0.35">
      <c r="A17" s="30"/>
      <c r="B17" s="25" t="s">
        <v>248</v>
      </c>
      <c r="C17" s="24" t="s">
        <v>243</v>
      </c>
      <c r="D17" s="31">
        <f>96.2+33</f>
        <v>129.19999999999999</v>
      </c>
      <c r="E17" s="26">
        <v>10.59</v>
      </c>
      <c r="F17" s="26">
        <f t="shared" si="1"/>
        <v>1368.2279999999998</v>
      </c>
      <c r="G17" s="28"/>
      <c r="I17">
        <v>134</v>
      </c>
      <c r="J17">
        <v>37.799999999999997</v>
      </c>
    </row>
    <row r="18" spans="1:10" ht="60.6" customHeight="1" thickBot="1" x14ac:dyDescent="0.35">
      <c r="A18" s="30"/>
      <c r="B18" s="1" t="s">
        <v>249</v>
      </c>
      <c r="C18" s="24" t="s">
        <v>243</v>
      </c>
      <c r="D18" s="31">
        <v>0</v>
      </c>
      <c r="E18" s="46">
        <v>70.716500000000011</v>
      </c>
      <c r="F18" s="26">
        <f t="shared" si="1"/>
        <v>0</v>
      </c>
      <c r="G18" s="28"/>
    </row>
    <row r="19" spans="1:10" ht="118.2" customHeight="1" thickBot="1" x14ac:dyDescent="0.35">
      <c r="A19" s="30"/>
      <c r="B19" s="9" t="s">
        <v>194</v>
      </c>
      <c r="C19" s="24" t="str">
        <f>C18</f>
        <v>m²</v>
      </c>
      <c r="D19" s="31">
        <f>37.8+2*(5.3)</f>
        <v>48.4</v>
      </c>
      <c r="E19" s="47">
        <v>55.2</v>
      </c>
      <c r="F19" s="26">
        <f t="shared" si="1"/>
        <v>2671.68</v>
      </c>
      <c r="G19" s="28"/>
    </row>
    <row r="20" spans="1:10" ht="15" thickBot="1" x14ac:dyDescent="0.35">
      <c r="A20" s="22"/>
      <c r="B20" s="237" t="s">
        <v>250</v>
      </c>
      <c r="C20" s="237"/>
      <c r="D20" s="237"/>
      <c r="E20" s="237"/>
      <c r="F20" s="237"/>
      <c r="G20" s="23">
        <f>SUM(F21:F31)</f>
        <v>2011.42</v>
      </c>
    </row>
    <row r="21" spans="1:10" ht="108.45" customHeight="1" thickBot="1" x14ac:dyDescent="0.35">
      <c r="A21" s="30"/>
      <c r="B21" s="25" t="s">
        <v>224</v>
      </c>
      <c r="C21" s="24" t="s">
        <v>251</v>
      </c>
      <c r="D21" s="32">
        <v>0</v>
      </c>
      <c r="E21" s="28">
        <f>83.81*1.15</f>
        <v>96.381499999999988</v>
      </c>
      <c r="F21" s="28">
        <f>D21*E21</f>
        <v>0</v>
      </c>
      <c r="G21" s="28"/>
    </row>
    <row r="22" spans="1:10" ht="100.5" customHeight="1" thickBot="1" x14ac:dyDescent="0.35">
      <c r="A22" s="30"/>
      <c r="B22" s="25" t="s">
        <v>252</v>
      </c>
      <c r="C22" s="24" t="s">
        <v>251</v>
      </c>
      <c r="D22" s="32">
        <v>4</v>
      </c>
      <c r="E22" s="28">
        <f>92.1*1.15</f>
        <v>105.91499999999999</v>
      </c>
      <c r="F22" s="28">
        <f t="shared" ref="F22:F31" si="2">D22*E22</f>
        <v>423.65999999999997</v>
      </c>
      <c r="G22" s="28"/>
    </row>
    <row r="23" spans="1:10" ht="117" customHeight="1" thickBot="1" x14ac:dyDescent="0.35">
      <c r="A23" s="30"/>
      <c r="B23" s="25" t="s">
        <v>253</v>
      </c>
      <c r="C23" s="24" t="s">
        <v>251</v>
      </c>
      <c r="D23" s="32">
        <v>0</v>
      </c>
      <c r="E23" s="26">
        <v>156.37</v>
      </c>
      <c r="F23" s="28">
        <f t="shared" si="2"/>
        <v>0</v>
      </c>
      <c r="G23" s="28"/>
    </row>
    <row r="24" spans="1:10" ht="67.5" customHeight="1" thickBot="1" x14ac:dyDescent="0.35">
      <c r="A24" s="30"/>
      <c r="B24" s="25" t="s">
        <v>254</v>
      </c>
      <c r="C24" s="24" t="s">
        <v>251</v>
      </c>
      <c r="D24" s="32">
        <v>4</v>
      </c>
      <c r="E24" s="28">
        <v>40.29</v>
      </c>
      <c r="F24" s="28">
        <f t="shared" si="2"/>
        <v>161.16</v>
      </c>
      <c r="G24" s="28"/>
    </row>
    <row r="25" spans="1:10" ht="62.4" customHeight="1" thickBot="1" x14ac:dyDescent="0.35">
      <c r="A25" s="30"/>
      <c r="B25" s="25" t="s">
        <v>255</v>
      </c>
      <c r="C25" s="24" t="s">
        <v>251</v>
      </c>
      <c r="D25" s="32">
        <v>0</v>
      </c>
      <c r="E25" s="28">
        <v>53.72</v>
      </c>
      <c r="F25" s="28">
        <f t="shared" si="2"/>
        <v>0</v>
      </c>
      <c r="G25" s="28"/>
    </row>
    <row r="26" spans="1:10" ht="140.4" customHeight="1" thickBot="1" x14ac:dyDescent="0.35">
      <c r="A26" s="30"/>
      <c r="B26" s="25" t="s">
        <v>256</v>
      </c>
      <c r="C26" s="24" t="s">
        <v>251</v>
      </c>
      <c r="D26" s="32">
        <v>4</v>
      </c>
      <c r="E26" s="28">
        <v>113</v>
      </c>
      <c r="F26" s="28">
        <f t="shared" si="2"/>
        <v>452</v>
      </c>
      <c r="G26" s="28"/>
    </row>
    <row r="27" spans="1:10" ht="123.6" customHeight="1" thickBot="1" x14ac:dyDescent="0.35">
      <c r="A27" s="30"/>
      <c r="B27" s="25" t="s">
        <v>257</v>
      </c>
      <c r="C27" s="24" t="s">
        <v>251</v>
      </c>
      <c r="D27" s="32">
        <v>4</v>
      </c>
      <c r="E27" s="28">
        <v>243.65</v>
      </c>
      <c r="F27" s="28">
        <f t="shared" si="2"/>
        <v>974.6</v>
      </c>
      <c r="G27" s="28"/>
    </row>
    <row r="28" spans="1:10" ht="124.5" customHeight="1" thickBot="1" x14ac:dyDescent="0.35">
      <c r="A28" s="30"/>
      <c r="B28" s="25" t="s">
        <v>258</v>
      </c>
      <c r="C28" s="24" t="s">
        <v>251</v>
      </c>
      <c r="D28" s="32">
        <v>0</v>
      </c>
      <c r="E28" s="28">
        <v>247.15</v>
      </c>
      <c r="F28" s="28">
        <f t="shared" si="2"/>
        <v>0</v>
      </c>
      <c r="G28" s="28"/>
    </row>
    <row r="29" spans="1:10" ht="48.45" customHeight="1" thickBot="1" x14ac:dyDescent="0.35">
      <c r="A29" s="24"/>
      <c r="B29" s="25" t="s">
        <v>236</v>
      </c>
      <c r="C29" s="24" t="s">
        <v>259</v>
      </c>
      <c r="D29" s="32">
        <v>0</v>
      </c>
      <c r="E29" s="28">
        <v>65.91</v>
      </c>
      <c r="F29" s="28">
        <f t="shared" si="2"/>
        <v>0</v>
      </c>
      <c r="G29" s="28"/>
    </row>
    <row r="30" spans="1:10" ht="159" customHeight="1" thickBot="1" x14ac:dyDescent="0.35">
      <c r="A30" s="30"/>
      <c r="B30" s="25" t="s">
        <v>260</v>
      </c>
      <c r="C30" s="24" t="s">
        <v>251</v>
      </c>
      <c r="D30" s="32">
        <v>0</v>
      </c>
      <c r="E30" s="28">
        <v>239.8</v>
      </c>
      <c r="F30" s="28">
        <f t="shared" si="2"/>
        <v>0</v>
      </c>
      <c r="G30" s="28"/>
    </row>
    <row r="31" spans="1:10" ht="124.2" customHeight="1" thickBot="1" x14ac:dyDescent="0.35">
      <c r="A31" s="30"/>
      <c r="B31" s="25" t="s">
        <v>238</v>
      </c>
      <c r="C31" s="24" t="s">
        <v>251</v>
      </c>
      <c r="D31" s="32">
        <v>0</v>
      </c>
      <c r="E31" s="26">
        <v>133.47</v>
      </c>
      <c r="F31" s="28">
        <f t="shared" si="2"/>
        <v>0</v>
      </c>
      <c r="G31" s="28"/>
    </row>
    <row r="32" spans="1:10" ht="15" thickBot="1" x14ac:dyDescent="0.35">
      <c r="A32" s="22"/>
      <c r="B32" s="236" t="s">
        <v>261</v>
      </c>
      <c r="C32" s="236"/>
      <c r="D32" s="236"/>
      <c r="E32" s="236"/>
      <c r="F32" s="236"/>
      <c r="G32" s="23">
        <f>SUM(F33:F35)</f>
        <v>1507.42</v>
      </c>
    </row>
    <row r="33" spans="1:9" ht="136.5" customHeight="1" thickBot="1" x14ac:dyDescent="0.35">
      <c r="A33" s="33"/>
      <c r="B33" s="9" t="s">
        <v>262</v>
      </c>
      <c r="C33" s="34" t="s">
        <v>251</v>
      </c>
      <c r="D33" s="42">
        <v>2</v>
      </c>
      <c r="E33" s="10">
        <v>753.71</v>
      </c>
      <c r="F33" s="35">
        <f>D33*E33</f>
        <v>1507.42</v>
      </c>
      <c r="G33" s="36"/>
    </row>
    <row r="34" spans="1:9" ht="120.45" customHeight="1" thickBot="1" x14ac:dyDescent="0.35">
      <c r="A34" s="33"/>
      <c r="B34" s="9" t="s">
        <v>208</v>
      </c>
      <c r="C34" s="13" t="s">
        <v>36</v>
      </c>
      <c r="D34" s="45">
        <v>0</v>
      </c>
      <c r="E34" s="10">
        <v>415.20823412024555</v>
      </c>
      <c r="F34" s="14">
        <f t="shared" ref="F34:F35" si="3">D34*E34</f>
        <v>0</v>
      </c>
      <c r="G34" s="36"/>
    </row>
    <row r="35" spans="1:9" ht="80.400000000000006" customHeight="1" thickBot="1" x14ac:dyDescent="0.35">
      <c r="A35" s="33"/>
      <c r="B35" s="1" t="s">
        <v>263</v>
      </c>
      <c r="C35" s="13" t="s">
        <v>36</v>
      </c>
      <c r="D35" s="45">
        <v>0</v>
      </c>
      <c r="E35" s="13">
        <v>655.4</v>
      </c>
      <c r="F35" s="14">
        <f t="shared" si="3"/>
        <v>0</v>
      </c>
      <c r="G35" s="36"/>
    </row>
    <row r="36" spans="1:9" ht="15" thickBot="1" x14ac:dyDescent="0.35">
      <c r="A36" s="22"/>
      <c r="B36" s="236" t="s">
        <v>264</v>
      </c>
      <c r="C36" s="236"/>
      <c r="D36" s="236"/>
      <c r="E36" s="236"/>
      <c r="F36" s="236"/>
      <c r="G36" s="23">
        <f>SUM(F37:F39)</f>
        <v>583.02854284960131</v>
      </c>
    </row>
    <row r="37" spans="1:9" ht="36.450000000000003" customHeight="1" thickBot="1" x14ac:dyDescent="0.35">
      <c r="A37" s="37"/>
      <c r="B37" s="9" t="s">
        <v>198</v>
      </c>
      <c r="C37" s="13" t="s">
        <v>15</v>
      </c>
      <c r="D37" s="45">
        <v>0</v>
      </c>
      <c r="E37" s="10">
        <v>15.99</v>
      </c>
      <c r="F37" s="19">
        <f>D37*E37</f>
        <v>0</v>
      </c>
      <c r="G37" s="38"/>
    </row>
    <row r="38" spans="1:9" ht="69.45" customHeight="1" thickBot="1" x14ac:dyDescent="0.35">
      <c r="A38" s="37"/>
      <c r="B38" s="9" t="s">
        <v>200</v>
      </c>
      <c r="C38" s="13" t="s">
        <v>15</v>
      </c>
      <c r="D38" s="45">
        <v>1.65</v>
      </c>
      <c r="E38" s="10">
        <v>81.930632030061361</v>
      </c>
      <c r="F38" s="14">
        <f t="shared" ref="F38:F39" si="4">D38*E38</f>
        <v>135.18554284960123</v>
      </c>
      <c r="G38" s="38"/>
    </row>
    <row r="39" spans="1:9" ht="91.5" customHeight="1" thickBot="1" x14ac:dyDescent="0.35">
      <c r="A39" s="37"/>
      <c r="B39" s="9" t="s">
        <v>202</v>
      </c>
      <c r="C39" s="13" t="s">
        <v>15</v>
      </c>
      <c r="D39" s="45">
        <v>1.65</v>
      </c>
      <c r="E39" s="10">
        <v>271.42</v>
      </c>
      <c r="F39" s="14">
        <f t="shared" si="4"/>
        <v>447.84300000000002</v>
      </c>
      <c r="G39" s="38"/>
    </row>
    <row r="40" spans="1:9" ht="15" thickBot="1" x14ac:dyDescent="0.35">
      <c r="A40" s="22"/>
      <c r="B40" s="236" t="s">
        <v>265</v>
      </c>
      <c r="C40" s="236"/>
      <c r="D40" s="236"/>
      <c r="E40" s="236"/>
      <c r="F40" s="236"/>
      <c r="G40" s="23">
        <f>SUM(F41:F43)</f>
        <v>2136.7640000000001</v>
      </c>
    </row>
    <row r="41" spans="1:9" ht="63.6" customHeight="1" thickBot="1" x14ac:dyDescent="0.35">
      <c r="A41" s="37"/>
      <c r="B41" s="9" t="s">
        <v>266</v>
      </c>
      <c r="C41" s="13" t="s">
        <v>15</v>
      </c>
      <c r="D41" s="43">
        <v>32.200000000000003</v>
      </c>
      <c r="E41" s="14">
        <v>62.99</v>
      </c>
      <c r="F41" s="14">
        <f>D41*E41</f>
        <v>2028.2780000000002</v>
      </c>
      <c r="G41" s="38"/>
    </row>
    <row r="42" spans="1:9" ht="33.9" customHeight="1" thickBot="1" x14ac:dyDescent="0.35">
      <c r="A42" s="37"/>
      <c r="B42" s="9" t="s">
        <v>182</v>
      </c>
      <c r="C42" s="13" t="s">
        <v>24</v>
      </c>
      <c r="D42" s="43">
        <v>0</v>
      </c>
      <c r="E42" s="14">
        <v>41.19</v>
      </c>
      <c r="F42" s="14">
        <f t="shared" ref="F42" si="5">D42*E42</f>
        <v>0</v>
      </c>
      <c r="G42" s="38"/>
    </row>
    <row r="43" spans="1:9" ht="43.2" customHeight="1" thickBot="1" x14ac:dyDescent="0.35">
      <c r="A43" s="37"/>
      <c r="B43" s="9" t="s">
        <v>184</v>
      </c>
      <c r="C43" s="13" t="s">
        <v>24</v>
      </c>
      <c r="D43" s="43">
        <v>9.8000000000000007</v>
      </c>
      <c r="E43" s="14">
        <v>11.07</v>
      </c>
      <c r="F43" s="14">
        <f>D43*E43</f>
        <v>108.486</v>
      </c>
      <c r="G43" s="38"/>
    </row>
    <row r="44" spans="1:9" ht="15" thickBot="1" x14ac:dyDescent="0.35">
      <c r="A44" s="22"/>
      <c r="B44" s="236" t="s">
        <v>267</v>
      </c>
      <c r="C44" s="236"/>
      <c r="D44" s="236"/>
      <c r="E44" s="236"/>
      <c r="F44" s="236"/>
      <c r="G44" s="23">
        <f>SUM(F45:F49)</f>
        <v>5284.0851230769231</v>
      </c>
    </row>
    <row r="45" spans="1:9" ht="57" customHeight="1" thickBot="1" x14ac:dyDescent="0.35">
      <c r="A45" s="37"/>
      <c r="B45" s="9" t="s">
        <v>268</v>
      </c>
      <c r="C45" s="13" t="s">
        <v>36</v>
      </c>
      <c r="D45" s="45">
        <v>2</v>
      </c>
      <c r="E45" s="10">
        <v>470.84</v>
      </c>
      <c r="F45" s="14">
        <f>D45*E45</f>
        <v>941.68</v>
      </c>
      <c r="G45" s="38"/>
    </row>
    <row r="46" spans="1:9" ht="64.5" customHeight="1" thickBot="1" x14ac:dyDescent="0.35">
      <c r="A46" s="37"/>
      <c r="B46" s="9" t="s">
        <v>269</v>
      </c>
      <c r="C46" s="13" t="s">
        <v>36</v>
      </c>
      <c r="D46" s="45">
        <v>6</v>
      </c>
      <c r="E46" s="10">
        <v>214.12585384615389</v>
      </c>
      <c r="F46" s="14">
        <f>D46*E46</f>
        <v>1284.7551230769234</v>
      </c>
      <c r="G46" s="38"/>
    </row>
    <row r="47" spans="1:9" ht="59.4" customHeight="1" thickBot="1" x14ac:dyDescent="0.35">
      <c r="A47" s="39"/>
      <c r="B47" s="20" t="s">
        <v>270</v>
      </c>
      <c r="C47" s="13" t="s">
        <v>36</v>
      </c>
      <c r="D47" s="45">
        <v>0</v>
      </c>
      <c r="E47" s="10">
        <v>274.95507600000008</v>
      </c>
      <c r="F47" s="14">
        <f>D47*E47</f>
        <v>0</v>
      </c>
      <c r="G47" s="39"/>
      <c r="I47" t="s">
        <v>271</v>
      </c>
    </row>
    <row r="48" spans="1:9" ht="99.6" customHeight="1" thickBot="1" x14ac:dyDescent="0.35">
      <c r="A48" s="39"/>
      <c r="B48" s="9" t="s">
        <v>272</v>
      </c>
      <c r="C48" s="13" t="s">
        <v>36</v>
      </c>
      <c r="D48" s="45">
        <v>5</v>
      </c>
      <c r="E48" s="10">
        <v>569.53</v>
      </c>
      <c r="F48" s="14">
        <f>D48*E48</f>
        <v>2847.6499999999996</v>
      </c>
      <c r="G48" s="39"/>
    </row>
    <row r="49" spans="1:7" ht="38.4" customHeight="1" thickBot="1" x14ac:dyDescent="0.35">
      <c r="A49" s="39"/>
      <c r="B49" s="9" t="s">
        <v>273</v>
      </c>
      <c r="C49" s="13" t="s">
        <v>36</v>
      </c>
      <c r="D49" s="45">
        <v>7</v>
      </c>
      <c r="E49" s="10">
        <v>30</v>
      </c>
      <c r="F49" s="14">
        <f>D49*E49</f>
        <v>210</v>
      </c>
      <c r="G49" s="39"/>
    </row>
    <row r="50" spans="1:7" ht="15" thickBot="1" x14ac:dyDescent="0.35"/>
    <row r="51" spans="1:7" ht="26.4" customHeight="1" thickBot="1" x14ac:dyDescent="0.35">
      <c r="A51" s="22"/>
      <c r="B51" s="235" t="s">
        <v>274</v>
      </c>
      <c r="C51" s="235"/>
      <c r="D51" s="235"/>
      <c r="E51" s="235"/>
      <c r="F51" s="235"/>
      <c r="G51" s="23">
        <f>SUM(G4:G49)</f>
        <v>25896.343665926524</v>
      </c>
    </row>
    <row r="52" spans="1:7" ht="43.95" customHeight="1" thickBot="1" x14ac:dyDescent="0.35">
      <c r="A52" s="22"/>
      <c r="B52" s="235" t="s">
        <v>275</v>
      </c>
      <c r="C52" s="235"/>
      <c r="D52" s="235"/>
      <c r="E52" s="235"/>
      <c r="F52" s="235"/>
      <c r="G52" s="23">
        <f>G51/(32.2*1.6385)</f>
        <v>490.83568833648638</v>
      </c>
    </row>
  </sheetData>
  <mergeCells count="12">
    <mergeCell ref="B52:F52"/>
    <mergeCell ref="A1:G1"/>
    <mergeCell ref="A2:G2"/>
    <mergeCell ref="B4:F4"/>
    <mergeCell ref="B10:F10"/>
    <mergeCell ref="B12:F12"/>
    <mergeCell ref="B20:F20"/>
    <mergeCell ref="B32:F32"/>
    <mergeCell ref="B36:F36"/>
    <mergeCell ref="B40:F40"/>
    <mergeCell ref="B44:F44"/>
    <mergeCell ref="B51:F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2"/>
  <sheetViews>
    <sheetView topLeftCell="A4" zoomScale="70" zoomScaleNormal="70" workbookViewId="0">
      <selection activeCell="G16" sqref="G16"/>
    </sheetView>
  </sheetViews>
  <sheetFormatPr baseColWidth="10" defaultColWidth="11.44140625" defaultRowHeight="14.4" x14ac:dyDescent="0.3"/>
  <cols>
    <col min="2" max="2" width="35.88671875" customWidth="1"/>
    <col min="7" max="7" width="18.109375" customWidth="1"/>
  </cols>
  <sheetData>
    <row r="1" spans="1:11" ht="25.8" thickBot="1" x14ac:dyDescent="0.35">
      <c r="A1" s="228" t="s">
        <v>0</v>
      </c>
      <c r="B1" s="228"/>
      <c r="C1" s="228"/>
      <c r="D1" s="228"/>
      <c r="E1" s="228"/>
      <c r="F1" s="228"/>
      <c r="G1" s="228"/>
    </row>
    <row r="2" spans="1:11" ht="48.6" customHeight="1" thickBot="1" x14ac:dyDescent="0.35">
      <c r="A2" s="229" t="s">
        <v>276</v>
      </c>
      <c r="B2" s="229"/>
      <c r="C2" s="229"/>
      <c r="D2" s="229"/>
      <c r="E2" s="229"/>
      <c r="F2" s="229"/>
      <c r="G2" s="229"/>
    </row>
    <row r="3" spans="1:11" ht="78.599999999999994" thickBot="1" x14ac:dyDescent="0.35">
      <c r="A3" s="21" t="s">
        <v>4</v>
      </c>
      <c r="B3" s="21" t="s">
        <v>139</v>
      </c>
      <c r="C3" s="21" t="s">
        <v>32</v>
      </c>
      <c r="D3" s="21" t="s">
        <v>7</v>
      </c>
      <c r="E3" s="21" t="s">
        <v>240</v>
      </c>
      <c r="F3" s="21" t="s">
        <v>141</v>
      </c>
      <c r="G3" s="21" t="s">
        <v>151</v>
      </c>
    </row>
    <row r="4" spans="1:11" ht="15" thickBot="1" x14ac:dyDescent="0.35">
      <c r="A4" s="22"/>
      <c r="B4" s="236" t="s">
        <v>241</v>
      </c>
      <c r="C4" s="236"/>
      <c r="D4" s="236"/>
      <c r="E4" s="236"/>
      <c r="F4" s="236"/>
      <c r="G4" s="23">
        <f>SUM(F5:F10)</f>
        <v>15697.575999999999</v>
      </c>
    </row>
    <row r="5" spans="1:11" ht="303" customHeight="1" thickBot="1" x14ac:dyDescent="0.35">
      <c r="A5" s="24"/>
      <c r="B5" s="104" t="s">
        <v>242</v>
      </c>
      <c r="C5" s="24" t="s">
        <v>243</v>
      </c>
      <c r="D5" s="27">
        <v>65</v>
      </c>
      <c r="E5" s="26">
        <f>176.97</f>
        <v>176.97</v>
      </c>
      <c r="F5" s="26">
        <f>D5*E5</f>
        <v>11503.05</v>
      </c>
      <c r="G5" s="28"/>
      <c r="K5" s="131">
        <f>E5+E7+E8+E9</f>
        <v>227.24</v>
      </c>
    </row>
    <row r="6" spans="1:11" ht="103.5" customHeight="1" thickBot="1" x14ac:dyDescent="0.35">
      <c r="A6" s="24"/>
      <c r="B6" s="25" t="s">
        <v>171</v>
      </c>
      <c r="C6" s="24" t="s">
        <v>24</v>
      </c>
      <c r="D6" s="27">
        <v>14.2</v>
      </c>
      <c r="E6" s="26">
        <v>65.28</v>
      </c>
      <c r="F6" s="26">
        <f>D6*E6</f>
        <v>926.976</v>
      </c>
      <c r="G6" s="28"/>
    </row>
    <row r="7" spans="1:11" ht="36" customHeight="1" thickBot="1" x14ac:dyDescent="0.35">
      <c r="A7" s="24"/>
      <c r="B7" s="6" t="s">
        <v>172</v>
      </c>
      <c r="C7" s="7" t="s">
        <v>15</v>
      </c>
      <c r="D7" s="5">
        <v>65</v>
      </c>
      <c r="E7" s="8">
        <f>23.02</f>
        <v>23.02</v>
      </c>
      <c r="F7" s="26">
        <f>D7*E7</f>
        <v>1496.3</v>
      </c>
      <c r="G7" s="28"/>
    </row>
    <row r="8" spans="1:11" ht="27.45" customHeight="1" thickBot="1" x14ac:dyDescent="0.35">
      <c r="A8" s="24"/>
      <c r="B8" s="6" t="s">
        <v>173</v>
      </c>
      <c r="C8" s="7" t="s">
        <v>15</v>
      </c>
      <c r="D8" s="5">
        <v>65</v>
      </c>
      <c r="E8" s="8">
        <f>17.55</f>
        <v>17.55</v>
      </c>
      <c r="F8" s="26">
        <f t="shared" ref="F8:F10" si="0">D8*E8</f>
        <v>1140.75</v>
      </c>
      <c r="G8" s="28"/>
    </row>
    <row r="9" spans="1:11" ht="26.4" customHeight="1" thickBot="1" x14ac:dyDescent="0.35">
      <c r="A9" s="24"/>
      <c r="B9" s="6" t="s">
        <v>174</v>
      </c>
      <c r="C9" s="7" t="s">
        <v>15</v>
      </c>
      <c r="D9" s="5">
        <v>65</v>
      </c>
      <c r="E9" s="8">
        <f>9.7</f>
        <v>9.6999999999999993</v>
      </c>
      <c r="F9" s="26">
        <f t="shared" si="0"/>
        <v>630.5</v>
      </c>
      <c r="G9" s="28"/>
    </row>
    <row r="10" spans="1:11" ht="98.1" customHeight="1" thickBot="1" x14ac:dyDescent="0.35">
      <c r="A10" s="24"/>
      <c r="B10" s="1" t="s">
        <v>175</v>
      </c>
      <c r="C10" s="130" t="s">
        <v>24</v>
      </c>
      <c r="D10" s="5">
        <v>0</v>
      </c>
      <c r="E10" s="46">
        <v>210.17982025384623</v>
      </c>
      <c r="F10" s="26">
        <f t="shared" si="0"/>
        <v>0</v>
      </c>
      <c r="G10" s="28"/>
      <c r="J10">
        <v>9</v>
      </c>
    </row>
    <row r="11" spans="1:11" ht="15" thickBot="1" x14ac:dyDescent="0.35">
      <c r="A11" s="22"/>
      <c r="B11" s="236" t="s">
        <v>244</v>
      </c>
      <c r="C11" s="236"/>
      <c r="D11" s="236"/>
      <c r="E11" s="236"/>
      <c r="F11" s="236"/>
      <c r="G11" s="23">
        <f>SUM(F12)</f>
        <v>448.5</v>
      </c>
    </row>
    <row r="12" spans="1:11" ht="121.2" customHeight="1" thickBot="1" x14ac:dyDescent="0.35">
      <c r="A12" s="24"/>
      <c r="B12" s="29" t="s">
        <v>245</v>
      </c>
      <c r="C12" s="24" t="s">
        <v>24</v>
      </c>
      <c r="D12" s="27">
        <v>6</v>
      </c>
      <c r="E12" s="26">
        <f>65*1.15</f>
        <v>74.75</v>
      </c>
      <c r="F12" s="26">
        <f>D12*E12</f>
        <v>448.5</v>
      </c>
      <c r="G12" s="28"/>
    </row>
    <row r="13" spans="1:11" ht="15" thickBot="1" x14ac:dyDescent="0.35">
      <c r="A13" s="22"/>
      <c r="B13" s="236" t="s">
        <v>246</v>
      </c>
      <c r="C13" s="236"/>
      <c r="D13" s="236"/>
      <c r="E13" s="236"/>
      <c r="F13" s="236"/>
      <c r="G13" s="23">
        <f>SUM(F14:F18)</f>
        <v>1688.652</v>
      </c>
    </row>
    <row r="14" spans="1:11" ht="195.9" customHeight="1" thickBot="1" x14ac:dyDescent="0.35">
      <c r="A14" s="24"/>
      <c r="B14" s="25" t="s">
        <v>247</v>
      </c>
      <c r="C14" s="24" t="s">
        <v>24</v>
      </c>
      <c r="D14" s="27">
        <v>0</v>
      </c>
      <c r="E14" s="26">
        <v>274.38</v>
      </c>
      <c r="F14" s="26">
        <f>D14*E14</f>
        <v>0</v>
      </c>
      <c r="G14" s="28"/>
    </row>
    <row r="15" spans="1:11" ht="65.400000000000006" customHeight="1" thickBot="1" x14ac:dyDescent="0.35">
      <c r="A15" s="30"/>
      <c r="B15" s="40" t="s">
        <v>186</v>
      </c>
      <c r="C15" s="24" t="s">
        <v>243</v>
      </c>
      <c r="D15" s="27">
        <v>0</v>
      </c>
      <c r="E15" s="26">
        <v>22.34</v>
      </c>
      <c r="F15" s="26">
        <f t="shared" ref="F15:F18" si="1">D15*E15</f>
        <v>0</v>
      </c>
      <c r="G15" s="28"/>
    </row>
    <row r="16" spans="1:11" ht="84.6" customHeight="1" thickBot="1" x14ac:dyDescent="0.35">
      <c r="A16" s="30"/>
      <c r="B16" s="25" t="s">
        <v>188</v>
      </c>
      <c r="C16" s="24" t="s">
        <v>243</v>
      </c>
      <c r="D16" s="27">
        <v>0</v>
      </c>
      <c r="E16" s="26">
        <v>7.56</v>
      </c>
      <c r="F16" s="26">
        <f t="shared" si="1"/>
        <v>0</v>
      </c>
      <c r="G16" s="28"/>
    </row>
    <row r="17" spans="1:7" ht="120" customHeight="1" thickBot="1" x14ac:dyDescent="0.35">
      <c r="A17" s="30"/>
      <c r="B17" s="25" t="s">
        <v>277</v>
      </c>
      <c r="C17" s="24" t="s">
        <v>243</v>
      </c>
      <c r="D17" s="31">
        <v>78.959999999999994</v>
      </c>
      <c r="E17" s="26">
        <v>9.9700000000000006</v>
      </c>
      <c r="F17" s="26">
        <f t="shared" si="1"/>
        <v>787.23119999999994</v>
      </c>
      <c r="G17" s="28"/>
    </row>
    <row r="18" spans="1:7" ht="117" customHeight="1" thickBot="1" x14ac:dyDescent="0.35">
      <c r="A18" s="30"/>
      <c r="B18" s="25" t="s">
        <v>278</v>
      </c>
      <c r="C18" s="24" t="s">
        <v>243</v>
      </c>
      <c r="D18" s="31">
        <v>85.12</v>
      </c>
      <c r="E18" s="26">
        <v>10.59</v>
      </c>
      <c r="F18" s="26">
        <f t="shared" si="1"/>
        <v>901.42079999999999</v>
      </c>
      <c r="G18" s="28"/>
    </row>
    <row r="19" spans="1:7" ht="15" thickBot="1" x14ac:dyDescent="0.35">
      <c r="A19" s="22"/>
      <c r="B19" s="237" t="s">
        <v>250</v>
      </c>
      <c r="C19" s="237"/>
      <c r="D19" s="237"/>
      <c r="E19" s="237"/>
      <c r="F19" s="237"/>
      <c r="G19" s="23">
        <f>SUM(F20:F32)</f>
        <v>4995.2569999999996</v>
      </c>
    </row>
    <row r="20" spans="1:7" ht="135.6" customHeight="1" thickBot="1" x14ac:dyDescent="0.35">
      <c r="A20" s="30"/>
      <c r="B20" s="25" t="s">
        <v>224</v>
      </c>
      <c r="C20" s="24" t="s">
        <v>251</v>
      </c>
      <c r="D20" s="32">
        <v>8</v>
      </c>
      <c r="E20" s="28">
        <f>83.81*1.15</f>
        <v>96.381499999999988</v>
      </c>
      <c r="F20" s="28">
        <f>D20*E20</f>
        <v>771.05199999999991</v>
      </c>
      <c r="G20" s="28"/>
    </row>
    <row r="21" spans="1:7" ht="142.19999999999999" customHeight="1" thickBot="1" x14ac:dyDescent="0.35">
      <c r="A21" s="30"/>
      <c r="B21" s="25" t="s">
        <v>252</v>
      </c>
      <c r="C21" s="24" t="s">
        <v>251</v>
      </c>
      <c r="D21" s="32">
        <v>1</v>
      </c>
      <c r="E21" s="28">
        <f>92.1*1.15</f>
        <v>105.91499999999999</v>
      </c>
      <c r="F21" s="28">
        <f t="shared" ref="F21:F32" si="2">D21*E21</f>
        <v>105.91499999999999</v>
      </c>
      <c r="G21" s="28"/>
    </row>
    <row r="22" spans="1:7" ht="130.19999999999999" customHeight="1" thickBot="1" x14ac:dyDescent="0.35">
      <c r="A22" s="30"/>
      <c r="B22" s="25" t="s">
        <v>253</v>
      </c>
      <c r="C22" s="24" t="s">
        <v>251</v>
      </c>
      <c r="D22" s="32">
        <v>8</v>
      </c>
      <c r="E22" s="26">
        <v>156.37</v>
      </c>
      <c r="F22" s="28">
        <f t="shared" si="2"/>
        <v>1250.96</v>
      </c>
      <c r="G22" s="28"/>
    </row>
    <row r="23" spans="1:7" ht="85.95" customHeight="1" thickBot="1" x14ac:dyDescent="0.35">
      <c r="A23" s="30"/>
      <c r="B23" s="25" t="s">
        <v>254</v>
      </c>
      <c r="C23" s="24" t="s">
        <v>251</v>
      </c>
      <c r="D23" s="32">
        <v>1</v>
      </c>
      <c r="E23" s="28">
        <v>40.29</v>
      </c>
      <c r="F23" s="28">
        <f t="shared" si="2"/>
        <v>40.29</v>
      </c>
      <c r="G23" s="28"/>
    </row>
    <row r="24" spans="1:7" ht="82.2" customHeight="1" thickBot="1" x14ac:dyDescent="0.35">
      <c r="A24" s="30"/>
      <c r="B24" s="25" t="s">
        <v>255</v>
      </c>
      <c r="C24" s="24" t="s">
        <v>251</v>
      </c>
      <c r="D24" s="32">
        <v>1</v>
      </c>
      <c r="E24" s="28">
        <v>53.72</v>
      </c>
      <c r="F24" s="28">
        <f t="shared" si="2"/>
        <v>53.72</v>
      </c>
      <c r="G24" s="28"/>
    </row>
    <row r="25" spans="1:7" ht="111.6" customHeight="1" thickBot="1" x14ac:dyDescent="0.35">
      <c r="A25" s="30"/>
      <c r="B25" s="25" t="s">
        <v>256</v>
      </c>
      <c r="C25" s="24" t="s">
        <v>251</v>
      </c>
      <c r="D25" s="32">
        <v>1</v>
      </c>
      <c r="E25" s="28">
        <v>113</v>
      </c>
      <c r="F25" s="28">
        <f t="shared" si="2"/>
        <v>113</v>
      </c>
      <c r="G25" s="28"/>
    </row>
    <row r="26" spans="1:7" ht="173.1" customHeight="1" thickBot="1" x14ac:dyDescent="0.35">
      <c r="A26" s="30"/>
      <c r="B26" s="25" t="s">
        <v>257</v>
      </c>
      <c r="C26" s="24" t="s">
        <v>251</v>
      </c>
      <c r="D26" s="32">
        <v>4</v>
      </c>
      <c r="E26" s="28">
        <v>243.65</v>
      </c>
      <c r="F26" s="28">
        <f t="shared" si="2"/>
        <v>974.6</v>
      </c>
      <c r="G26" s="28"/>
    </row>
    <row r="27" spans="1:7" ht="152.69999999999999" customHeight="1" thickBot="1" x14ac:dyDescent="0.35">
      <c r="A27" s="30"/>
      <c r="B27" s="25" t="s">
        <v>258</v>
      </c>
      <c r="C27" s="24" t="s">
        <v>251</v>
      </c>
      <c r="D27" s="32">
        <v>3</v>
      </c>
      <c r="E27" s="28">
        <v>247.15</v>
      </c>
      <c r="F27" s="28">
        <f t="shared" si="2"/>
        <v>741.45</v>
      </c>
      <c r="G27" s="28"/>
    </row>
    <row r="28" spans="1:7" ht="42.6" customHeight="1" thickBot="1" x14ac:dyDescent="0.35">
      <c r="A28" s="24"/>
      <c r="B28" s="25" t="s">
        <v>236</v>
      </c>
      <c r="C28" s="24" t="s">
        <v>259</v>
      </c>
      <c r="D28" s="32">
        <v>3</v>
      </c>
      <c r="E28" s="28">
        <v>65.91</v>
      </c>
      <c r="F28" s="28">
        <f t="shared" si="2"/>
        <v>197.73</v>
      </c>
      <c r="G28" s="28"/>
    </row>
    <row r="29" spans="1:7" ht="200.7" customHeight="1" thickBot="1" x14ac:dyDescent="0.35">
      <c r="A29" s="30"/>
      <c r="B29" s="25" t="s">
        <v>260</v>
      </c>
      <c r="C29" s="24" t="s">
        <v>251</v>
      </c>
      <c r="D29" s="32">
        <v>1</v>
      </c>
      <c r="E29" s="28">
        <v>239.8</v>
      </c>
      <c r="F29" s="28">
        <f t="shared" si="2"/>
        <v>239.8</v>
      </c>
      <c r="G29" s="28"/>
    </row>
    <row r="30" spans="1:7" ht="150.44999999999999" customHeight="1" thickBot="1" x14ac:dyDescent="0.35">
      <c r="A30" s="30"/>
      <c r="B30" s="25" t="s">
        <v>238</v>
      </c>
      <c r="C30" s="24" t="s">
        <v>251</v>
      </c>
      <c r="D30" s="32">
        <v>1</v>
      </c>
      <c r="E30" s="26">
        <v>133.47</v>
      </c>
      <c r="F30" s="28">
        <f t="shared" si="2"/>
        <v>133.47</v>
      </c>
      <c r="G30" s="28"/>
    </row>
    <row r="31" spans="1:7" ht="150.44999999999999" customHeight="1" thickBot="1" x14ac:dyDescent="0.35">
      <c r="A31" s="30"/>
      <c r="B31" s="25" t="s">
        <v>260</v>
      </c>
      <c r="C31" s="24" t="s">
        <v>251</v>
      </c>
      <c r="D31" s="32">
        <v>1</v>
      </c>
      <c r="E31" s="26">
        <v>239.8</v>
      </c>
      <c r="F31" s="28">
        <f t="shared" si="2"/>
        <v>239.8</v>
      </c>
      <c r="G31" s="28"/>
    </row>
    <row r="32" spans="1:7" ht="150.44999999999999" customHeight="1" thickBot="1" x14ac:dyDescent="0.35">
      <c r="A32" s="30"/>
      <c r="B32" s="25" t="s">
        <v>238</v>
      </c>
      <c r="C32" s="24" t="s">
        <v>251</v>
      </c>
      <c r="D32" s="32">
        <v>1</v>
      </c>
      <c r="E32" s="26">
        <v>133.47</v>
      </c>
      <c r="F32" s="28">
        <f t="shared" si="2"/>
        <v>133.47</v>
      </c>
      <c r="G32" s="28"/>
    </row>
    <row r="33" spans="1:7" ht="15" thickBot="1" x14ac:dyDescent="0.35">
      <c r="A33" s="22"/>
      <c r="B33" s="237" t="s">
        <v>261</v>
      </c>
      <c r="C33" s="237"/>
      <c r="D33" s="237"/>
      <c r="E33" s="237"/>
      <c r="F33" s="237"/>
      <c r="G33" s="23">
        <f>SUM(F34:F35)</f>
        <v>1547.68</v>
      </c>
    </row>
    <row r="34" spans="1:7" ht="54" thickBot="1" x14ac:dyDescent="0.35">
      <c r="A34" s="59"/>
      <c r="B34" s="60" t="s">
        <v>279</v>
      </c>
      <c r="C34" s="24" t="s">
        <v>251</v>
      </c>
      <c r="D34" s="61">
        <v>1</v>
      </c>
      <c r="E34" s="62">
        <v>40.26</v>
      </c>
      <c r="F34" s="63">
        <f>D34*E34</f>
        <v>40.26</v>
      </c>
      <c r="G34" s="62"/>
    </row>
    <row r="35" spans="1:7" ht="145.80000000000001" thickBot="1" x14ac:dyDescent="0.35">
      <c r="A35" s="33"/>
      <c r="B35" s="9" t="s">
        <v>262</v>
      </c>
      <c r="C35" s="34" t="s">
        <v>251</v>
      </c>
      <c r="D35" s="42">
        <v>2</v>
      </c>
      <c r="E35" s="10">
        <v>753.71</v>
      </c>
      <c r="F35" s="41">
        <f>D35*E35</f>
        <v>1507.42</v>
      </c>
      <c r="G35" s="36"/>
    </row>
    <row r="36" spans="1:7" ht="15" thickBot="1" x14ac:dyDescent="0.35">
      <c r="A36" s="22"/>
      <c r="B36" s="236" t="s">
        <v>264</v>
      </c>
      <c r="C36" s="236"/>
      <c r="D36" s="236"/>
      <c r="E36" s="236"/>
      <c r="F36" s="236"/>
      <c r="G36" s="23">
        <f>SUM(F37:F39)</f>
        <v>4062.7469523306754</v>
      </c>
    </row>
    <row r="37" spans="1:7" ht="27" thickBot="1" x14ac:dyDescent="0.35">
      <c r="A37" s="37"/>
      <c r="B37" s="9" t="s">
        <v>198</v>
      </c>
      <c r="C37" s="13" t="s">
        <v>15</v>
      </c>
      <c r="D37" s="44">
        <v>11</v>
      </c>
      <c r="E37" s="10">
        <v>15.99</v>
      </c>
      <c r="F37" s="19">
        <f>D37*E37</f>
        <v>175.89000000000001</v>
      </c>
      <c r="G37" s="38"/>
    </row>
    <row r="38" spans="1:7" ht="53.4" thickBot="1" x14ac:dyDescent="0.35">
      <c r="A38" s="37"/>
      <c r="B38" s="9" t="s">
        <v>200</v>
      </c>
      <c r="C38" s="13" t="s">
        <v>15</v>
      </c>
      <c r="D38" s="44">
        <v>11</v>
      </c>
      <c r="E38" s="10">
        <v>81.930632030061361</v>
      </c>
      <c r="F38" s="19">
        <f t="shared" ref="F38:F39" si="3">D38*E38</f>
        <v>901.23695233067497</v>
      </c>
      <c r="G38" s="38"/>
    </row>
    <row r="39" spans="1:7" ht="93" thickBot="1" x14ac:dyDescent="0.35">
      <c r="A39" s="37"/>
      <c r="B39" s="9" t="s">
        <v>202</v>
      </c>
      <c r="C39" s="13" t="s">
        <v>15</v>
      </c>
      <c r="D39" s="44">
        <v>11</v>
      </c>
      <c r="E39" s="10">
        <v>271.42</v>
      </c>
      <c r="F39" s="19">
        <f t="shared" si="3"/>
        <v>2985.6200000000003</v>
      </c>
      <c r="G39" s="38"/>
    </row>
    <row r="40" spans="1:7" ht="15" thickBot="1" x14ac:dyDescent="0.35">
      <c r="A40" s="22"/>
      <c r="B40" s="236" t="s">
        <v>265</v>
      </c>
      <c r="C40" s="236"/>
      <c r="D40" s="236"/>
      <c r="E40" s="238"/>
      <c r="F40" s="236"/>
      <c r="G40" s="23">
        <f>SUM(F41:F42)</f>
        <v>4703.2</v>
      </c>
    </row>
    <row r="41" spans="1:7" ht="53.4" thickBot="1" x14ac:dyDescent="0.35">
      <c r="A41" s="37"/>
      <c r="B41" s="9" t="s">
        <v>178</v>
      </c>
      <c r="C41" s="13" t="s">
        <v>15</v>
      </c>
      <c r="D41" s="43">
        <v>65</v>
      </c>
      <c r="E41" s="14">
        <v>62.99</v>
      </c>
      <c r="F41" s="14">
        <f>D41*E41</f>
        <v>4094.35</v>
      </c>
      <c r="G41" s="38"/>
    </row>
    <row r="42" spans="1:7" ht="40.200000000000003" thickBot="1" x14ac:dyDescent="0.35">
      <c r="A42" s="37"/>
      <c r="B42" s="9" t="s">
        <v>184</v>
      </c>
      <c r="C42" s="13" t="s">
        <v>24</v>
      </c>
      <c r="D42" s="43">
        <v>55</v>
      </c>
      <c r="E42" s="14">
        <v>11.07</v>
      </c>
      <c r="F42" s="14">
        <f>D42*E42</f>
        <v>608.85</v>
      </c>
      <c r="G42" s="38"/>
    </row>
    <row r="43" spans="1:7" ht="15" thickBot="1" x14ac:dyDescent="0.35">
      <c r="A43" s="22"/>
      <c r="B43" s="236" t="s">
        <v>267</v>
      </c>
      <c r="C43" s="236"/>
      <c r="D43" s="236"/>
      <c r="E43" s="236"/>
      <c r="F43" s="236"/>
      <c r="G43" s="23">
        <f>SUM(F44:F47)</f>
        <v>0</v>
      </c>
    </row>
    <row r="44" spans="1:7" ht="53.4" thickBot="1" x14ac:dyDescent="0.35">
      <c r="A44" s="37"/>
      <c r="B44" s="9" t="s">
        <v>268</v>
      </c>
      <c r="C44" s="13" t="s">
        <v>36</v>
      </c>
      <c r="D44" s="45">
        <v>0</v>
      </c>
      <c r="E44" s="10">
        <v>470.83928571428578</v>
      </c>
      <c r="F44" s="14">
        <f>D44*E44</f>
        <v>0</v>
      </c>
      <c r="G44" s="38"/>
    </row>
    <row r="45" spans="1:7" ht="53.4" thickBot="1" x14ac:dyDescent="0.35">
      <c r="A45" s="37"/>
      <c r="B45" s="9" t="s">
        <v>269</v>
      </c>
      <c r="C45" s="13" t="s">
        <v>36</v>
      </c>
      <c r="D45" s="45">
        <v>0</v>
      </c>
      <c r="E45" s="10">
        <v>214.12585384615389</v>
      </c>
      <c r="F45" s="14">
        <f>D45*E45</f>
        <v>0</v>
      </c>
      <c r="G45" s="38"/>
    </row>
    <row r="46" spans="1:7" ht="40.200000000000003" thickBot="1" x14ac:dyDescent="0.35">
      <c r="A46" s="39"/>
      <c r="B46" s="20" t="s">
        <v>270</v>
      </c>
      <c r="C46" s="13" t="s">
        <v>36</v>
      </c>
      <c r="D46" s="45">
        <v>0</v>
      </c>
      <c r="E46" s="10">
        <v>274.95507600000008</v>
      </c>
      <c r="F46" s="14">
        <f>D46*E46</f>
        <v>0</v>
      </c>
      <c r="G46" s="39"/>
    </row>
    <row r="47" spans="1:7" ht="105.6" x14ac:dyDescent="0.3">
      <c r="A47" s="81"/>
      <c r="B47" s="82" t="s">
        <v>272</v>
      </c>
      <c r="C47" s="83" t="s">
        <v>36</v>
      </c>
      <c r="D47" s="84">
        <v>0</v>
      </c>
      <c r="E47" s="85">
        <v>569.53</v>
      </c>
      <c r="F47" s="86">
        <f>D47*E47</f>
        <v>0</v>
      </c>
      <c r="G47" s="81"/>
    </row>
    <row r="48" spans="1:7" x14ac:dyDescent="0.3">
      <c r="A48" s="230" t="s">
        <v>280</v>
      </c>
      <c r="B48" s="230"/>
      <c r="C48" s="230"/>
      <c r="D48" s="230"/>
      <c r="E48" s="230"/>
      <c r="F48" s="230"/>
      <c r="G48" s="94">
        <f>SUM(F49:F50)</f>
        <v>698.75</v>
      </c>
    </row>
    <row r="49" spans="1:7" ht="26.4" x14ac:dyDescent="0.3">
      <c r="A49" s="89"/>
      <c r="B49" s="1" t="s">
        <v>281</v>
      </c>
      <c r="C49" s="91" t="s">
        <v>36</v>
      </c>
      <c r="D49" s="91"/>
      <c r="E49" s="93">
        <v>300</v>
      </c>
      <c r="F49" s="93">
        <f>D49*E49</f>
        <v>0</v>
      </c>
      <c r="G49" s="92"/>
    </row>
    <row r="50" spans="1:7" ht="57.6" x14ac:dyDescent="0.3">
      <c r="A50" s="89"/>
      <c r="B50" s="90" t="s">
        <v>282</v>
      </c>
      <c r="C50" s="91" t="s">
        <v>36</v>
      </c>
      <c r="D50" s="91">
        <v>1</v>
      </c>
      <c r="E50" s="93">
        <v>698.75</v>
      </c>
      <c r="F50" s="93">
        <f>D50*E50</f>
        <v>698.75</v>
      </c>
      <c r="G50" s="92"/>
    </row>
    <row r="51" spans="1:7" ht="15" thickBot="1" x14ac:dyDescent="0.35">
      <c r="A51" s="87"/>
      <c r="B51" s="238" t="s">
        <v>283</v>
      </c>
      <c r="C51" s="238"/>
      <c r="D51" s="238"/>
      <c r="E51" s="238"/>
      <c r="F51" s="238"/>
      <c r="G51" s="88">
        <f>SUM(G4:G50)</f>
        <v>33842.361952330677</v>
      </c>
    </row>
    <row r="52" spans="1:7" ht="15" thickBot="1" x14ac:dyDescent="0.35">
      <c r="A52" s="22"/>
      <c r="B52" s="236" t="s">
        <v>284</v>
      </c>
      <c r="C52" s="236"/>
      <c r="D52" s="236"/>
      <c r="E52" s="236"/>
      <c r="F52" s="236"/>
      <c r="G52" s="23">
        <f>G51/(62.3*1.6385)</f>
        <v>331.53254971128291</v>
      </c>
    </row>
  </sheetData>
  <mergeCells count="13">
    <mergeCell ref="B52:F52"/>
    <mergeCell ref="A1:G1"/>
    <mergeCell ref="A2:G2"/>
    <mergeCell ref="B4:F4"/>
    <mergeCell ref="B11:F11"/>
    <mergeCell ref="B13:F13"/>
    <mergeCell ref="B19:F19"/>
    <mergeCell ref="B33:F33"/>
    <mergeCell ref="B36:F36"/>
    <mergeCell ref="B40:F40"/>
    <mergeCell ref="B43:F43"/>
    <mergeCell ref="B51:F51"/>
    <mergeCell ref="A48:F4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5"/>
  <sheetViews>
    <sheetView topLeftCell="C10" zoomScale="70" zoomScaleNormal="70" workbookViewId="0">
      <selection activeCell="G16" sqref="G16"/>
    </sheetView>
  </sheetViews>
  <sheetFormatPr baseColWidth="10" defaultColWidth="11.44140625" defaultRowHeight="14.4" x14ac:dyDescent="0.3"/>
  <cols>
    <col min="2" max="2" width="30.88671875" customWidth="1"/>
  </cols>
  <sheetData>
    <row r="1" spans="1:12" ht="25.8" thickBot="1" x14ac:dyDescent="0.35">
      <c r="A1" s="228" t="s">
        <v>0</v>
      </c>
      <c r="B1" s="228"/>
      <c r="C1" s="228"/>
      <c r="D1" s="228"/>
      <c r="E1" s="228"/>
      <c r="F1" s="228"/>
      <c r="G1" s="228"/>
    </row>
    <row r="2" spans="1:12" ht="21" thickBot="1" x14ac:dyDescent="0.35">
      <c r="A2" s="229" t="s">
        <v>285</v>
      </c>
      <c r="B2" s="229"/>
      <c r="C2" s="229"/>
      <c r="D2" s="229"/>
      <c r="E2" s="229"/>
      <c r="F2" s="229"/>
      <c r="G2" s="229"/>
    </row>
    <row r="3" spans="1:12" ht="78.599999999999994" thickBot="1" x14ac:dyDescent="0.35">
      <c r="A3" s="21" t="s">
        <v>4</v>
      </c>
      <c r="B3" s="21" t="s">
        <v>139</v>
      </c>
      <c r="C3" s="21" t="s">
        <v>32</v>
      </c>
      <c r="D3" s="21" t="s">
        <v>7</v>
      </c>
      <c r="E3" s="21" t="s">
        <v>240</v>
      </c>
      <c r="F3" s="21" t="s">
        <v>141</v>
      </c>
      <c r="G3" s="21" t="s">
        <v>151</v>
      </c>
    </row>
    <row r="4" spans="1:12" ht="16.2" thickBot="1" x14ac:dyDescent="0.35">
      <c r="A4" s="101" t="s">
        <v>286</v>
      </c>
      <c r="B4" s="239" t="s">
        <v>287</v>
      </c>
      <c r="C4" s="240"/>
      <c r="D4" s="240"/>
      <c r="E4" s="240"/>
      <c r="F4" s="241"/>
      <c r="G4" s="103">
        <f>SUM(F5:F12)</f>
        <v>34533.977153494052</v>
      </c>
      <c r="I4" s="242" t="s">
        <v>288</v>
      </c>
      <c r="J4" s="242"/>
      <c r="K4" s="242"/>
      <c r="L4" s="110">
        <f>G4/D6</f>
        <v>508.60054717958838</v>
      </c>
    </row>
    <row r="5" spans="1:12" ht="27" thickBot="1" x14ac:dyDescent="0.35">
      <c r="A5" s="102" t="s">
        <v>289</v>
      </c>
      <c r="B5" s="68" t="s">
        <v>290</v>
      </c>
      <c r="C5" s="69" t="s">
        <v>98</v>
      </c>
      <c r="D5" s="13">
        <v>26.36</v>
      </c>
      <c r="E5" s="70">
        <f>24.31/1.6385</f>
        <v>14.836740921574609</v>
      </c>
      <c r="F5" s="14">
        <f>D5*E5</f>
        <v>391.09649069270671</v>
      </c>
      <c r="G5" s="13"/>
    </row>
    <row r="6" spans="1:12" ht="27" thickBot="1" x14ac:dyDescent="0.35">
      <c r="A6" s="102" t="s">
        <v>291</v>
      </c>
      <c r="B6" s="71" t="s">
        <v>292</v>
      </c>
      <c r="C6" s="69" t="s">
        <v>98</v>
      </c>
      <c r="D6" s="13">
        <v>67.900000000000006</v>
      </c>
      <c r="E6" s="70">
        <f>216.34754/1.6385</f>
        <v>132.04</v>
      </c>
      <c r="F6" s="79">
        <f t="shared" ref="F6:F12" si="0">D6*E6</f>
        <v>8965.5159999999996</v>
      </c>
      <c r="G6" s="13"/>
    </row>
    <row r="7" spans="1:12" ht="40.200000000000003" thickBot="1" x14ac:dyDescent="0.35">
      <c r="A7" s="102" t="s">
        <v>293</v>
      </c>
      <c r="B7" s="71" t="s">
        <v>294</v>
      </c>
      <c r="C7" s="69" t="s">
        <v>295</v>
      </c>
      <c r="D7" s="13">
        <v>77</v>
      </c>
      <c r="E7" s="70">
        <f>117.97/1.6385</f>
        <v>71.998779371376258</v>
      </c>
      <c r="F7" s="14">
        <f t="shared" si="0"/>
        <v>5543.9060115959719</v>
      </c>
      <c r="G7" s="13"/>
    </row>
    <row r="8" spans="1:12" ht="40.200000000000003" thickBot="1" x14ac:dyDescent="0.35">
      <c r="A8" s="102" t="s">
        <v>296</v>
      </c>
      <c r="B8" s="71" t="s">
        <v>297</v>
      </c>
      <c r="C8" s="69" t="s">
        <v>295</v>
      </c>
      <c r="D8" s="13">
        <f>9*3.6</f>
        <v>32.4</v>
      </c>
      <c r="E8" s="70">
        <f>270.45/1.6385</f>
        <v>165.05950564540737</v>
      </c>
      <c r="F8" s="14">
        <f t="shared" si="0"/>
        <v>5347.9279829111983</v>
      </c>
      <c r="G8" s="13"/>
    </row>
    <row r="9" spans="1:12" ht="40.200000000000003" thickBot="1" x14ac:dyDescent="0.35">
      <c r="A9" s="102" t="s">
        <v>298</v>
      </c>
      <c r="B9" s="71" t="s">
        <v>299</v>
      </c>
      <c r="C9" s="69" t="s">
        <v>295</v>
      </c>
      <c r="D9" s="13">
        <f>3*3.6</f>
        <v>10.8</v>
      </c>
      <c r="E9" s="70">
        <f>270.45/1.6385</f>
        <v>165.05950564540737</v>
      </c>
      <c r="F9" s="14">
        <f t="shared" si="0"/>
        <v>1782.6426609703997</v>
      </c>
      <c r="G9" s="13"/>
    </row>
    <row r="10" spans="1:12" ht="16.2" thickBot="1" x14ac:dyDescent="0.35">
      <c r="A10" s="102" t="s">
        <v>300</v>
      </c>
      <c r="B10" s="71" t="s">
        <v>301</v>
      </c>
      <c r="C10" s="69" t="s">
        <v>36</v>
      </c>
      <c r="D10" s="13">
        <v>9</v>
      </c>
      <c r="E10" s="70">
        <f>452.26/1.6385</f>
        <v>276.02075068660361</v>
      </c>
      <c r="F10" s="14">
        <f t="shared" si="0"/>
        <v>2484.1867561794325</v>
      </c>
      <c r="G10" s="13"/>
    </row>
    <row r="11" spans="1:12" ht="16.2" thickBot="1" x14ac:dyDescent="0.35">
      <c r="A11" s="102" t="s">
        <v>302</v>
      </c>
      <c r="B11" s="71" t="s">
        <v>301</v>
      </c>
      <c r="C11" s="69"/>
      <c r="D11" s="13">
        <v>3</v>
      </c>
      <c r="E11" s="70">
        <f>452.26/1.6385</f>
        <v>276.02075068660361</v>
      </c>
      <c r="F11" s="14">
        <f t="shared" si="0"/>
        <v>828.06225205981082</v>
      </c>
      <c r="G11" s="13"/>
    </row>
    <row r="12" spans="1:12" ht="40.200000000000003" thickBot="1" x14ac:dyDescent="0.35">
      <c r="A12" s="102" t="s">
        <v>303</v>
      </c>
      <c r="B12" s="68" t="s">
        <v>304</v>
      </c>
      <c r="C12" s="69" t="s">
        <v>295</v>
      </c>
      <c r="D12" s="13">
        <v>67.900000000000006</v>
      </c>
      <c r="E12" s="70">
        <f>221.78/1.6385</f>
        <v>135.35550808666463</v>
      </c>
      <c r="F12" s="79">
        <f t="shared" si="0"/>
        <v>9190.6389990845291</v>
      </c>
      <c r="G12" s="13"/>
    </row>
    <row r="13" spans="1:12" ht="16.2" thickBot="1" x14ac:dyDescent="0.35">
      <c r="A13" s="101" t="s">
        <v>305</v>
      </c>
      <c r="B13" s="239" t="s">
        <v>306</v>
      </c>
      <c r="C13" s="240"/>
      <c r="D13" s="240"/>
      <c r="E13" s="240"/>
      <c r="F13" s="241"/>
      <c r="G13" s="103">
        <f>SUM(F14:F35)</f>
        <v>18279.67980752408</v>
      </c>
      <c r="I13" s="230" t="s">
        <v>149</v>
      </c>
      <c r="J13" s="230"/>
      <c r="K13" s="230"/>
      <c r="L13" s="111">
        <f>G13/23.87</f>
        <v>765.80141631856225</v>
      </c>
    </row>
    <row r="14" spans="1:12" ht="16.2" thickBot="1" x14ac:dyDescent="0.35">
      <c r="A14" s="102" t="s">
        <v>307</v>
      </c>
      <c r="B14" s="71" t="s">
        <v>308</v>
      </c>
      <c r="C14" s="13" t="s">
        <v>15</v>
      </c>
      <c r="D14" s="13">
        <v>24</v>
      </c>
      <c r="E14" s="14">
        <f>3.17/1.6385</f>
        <v>1.9346963686298442</v>
      </c>
      <c r="F14" s="14">
        <f>D14*E14</f>
        <v>46.432712847116264</v>
      </c>
      <c r="G14" s="13"/>
    </row>
    <row r="15" spans="1:12" ht="27" thickBot="1" x14ac:dyDescent="0.35">
      <c r="A15" s="102" t="s">
        <v>309</v>
      </c>
      <c r="B15" s="71" t="s">
        <v>310</v>
      </c>
      <c r="C15" s="13" t="s">
        <v>29</v>
      </c>
      <c r="D15" s="13">
        <v>15</v>
      </c>
      <c r="E15" s="14">
        <f>22.39/1.6385</f>
        <v>13.664937442783033</v>
      </c>
      <c r="F15" s="14">
        <f t="shared" ref="F15:F33" si="1">D15*E15</f>
        <v>204.97406164174549</v>
      </c>
      <c r="G15" s="13"/>
    </row>
    <row r="16" spans="1:12" ht="40.200000000000003" thickBot="1" x14ac:dyDescent="0.35">
      <c r="A16" s="102" t="s">
        <v>311</v>
      </c>
      <c r="B16" s="71" t="s">
        <v>312</v>
      </c>
      <c r="C16" s="13" t="s">
        <v>29</v>
      </c>
      <c r="D16" s="13">
        <v>15</v>
      </c>
      <c r="E16" s="70">
        <f>81.4/1.6385</f>
        <v>49.679584986267926</v>
      </c>
      <c r="F16" s="14">
        <f t="shared" si="1"/>
        <v>745.19377479401885</v>
      </c>
      <c r="G16" s="13"/>
    </row>
    <row r="17" spans="1:7" ht="27" thickBot="1" x14ac:dyDescent="0.35">
      <c r="A17" s="102" t="s">
        <v>313</v>
      </c>
      <c r="B17" s="71" t="s">
        <v>314</v>
      </c>
      <c r="C17" s="13" t="s">
        <v>36</v>
      </c>
      <c r="D17" s="13">
        <v>7</v>
      </c>
      <c r="E17" s="70">
        <f>377.49/1.6385</f>
        <v>230.38754958803784</v>
      </c>
      <c r="F17" s="14">
        <f t="shared" si="1"/>
        <v>1612.7128471162648</v>
      </c>
      <c r="G17" s="13"/>
    </row>
    <row r="18" spans="1:7" ht="27" thickBot="1" x14ac:dyDescent="0.35">
      <c r="A18" s="102" t="s">
        <v>315</v>
      </c>
      <c r="B18" s="71" t="s">
        <v>292</v>
      </c>
      <c r="C18" s="13" t="s">
        <v>295</v>
      </c>
      <c r="D18" s="13">
        <v>6.6</v>
      </c>
      <c r="E18" s="70">
        <f>216.35/1.6385</f>
        <v>132.04150137320718</v>
      </c>
      <c r="F18" s="14">
        <f t="shared" si="1"/>
        <v>871.47390906316741</v>
      </c>
      <c r="G18" s="13"/>
    </row>
    <row r="19" spans="1:7" ht="40.200000000000003" thickBot="1" x14ac:dyDescent="0.35">
      <c r="A19" s="102" t="s">
        <v>316</v>
      </c>
      <c r="B19" s="71" t="s">
        <v>317</v>
      </c>
      <c r="C19" s="13" t="s">
        <v>295</v>
      </c>
      <c r="D19" s="13">
        <v>12.7</v>
      </c>
      <c r="E19" s="70">
        <f>51.77/1.6385</f>
        <v>31.595971925541654</v>
      </c>
      <c r="F19" s="14">
        <f t="shared" si="1"/>
        <v>401.26884345437901</v>
      </c>
      <c r="G19" s="13"/>
    </row>
    <row r="20" spans="1:7" ht="40.200000000000003" thickBot="1" x14ac:dyDescent="0.35">
      <c r="A20" s="102" t="s">
        <v>318</v>
      </c>
      <c r="B20" s="71" t="s">
        <v>319</v>
      </c>
      <c r="C20" s="13" t="s">
        <v>295</v>
      </c>
      <c r="D20" s="13">
        <v>26.25</v>
      </c>
      <c r="E20" s="70">
        <f>270.44/1.6385</f>
        <v>165.05340250228866</v>
      </c>
      <c r="F20" s="14">
        <f t="shared" si="1"/>
        <v>4332.6518156850771</v>
      </c>
      <c r="G20" s="13"/>
    </row>
    <row r="21" spans="1:7" ht="40.200000000000003" thickBot="1" x14ac:dyDescent="0.35">
      <c r="A21" s="102" t="s">
        <v>320</v>
      </c>
      <c r="B21" s="71" t="s">
        <v>294</v>
      </c>
      <c r="C21" s="13" t="s">
        <v>15</v>
      </c>
      <c r="D21" s="13">
        <v>13.34</v>
      </c>
      <c r="E21" s="70">
        <f>117.96/1.6385</f>
        <v>71.992676228257551</v>
      </c>
      <c r="F21" s="14">
        <f t="shared" si="1"/>
        <v>960.38230088495573</v>
      </c>
      <c r="G21" s="13"/>
    </row>
    <row r="22" spans="1:7" ht="40.200000000000003" thickBot="1" x14ac:dyDescent="0.35">
      <c r="A22" s="102" t="s">
        <v>321</v>
      </c>
      <c r="B22" s="71" t="s">
        <v>322</v>
      </c>
      <c r="C22" s="13" t="s">
        <v>15</v>
      </c>
      <c r="D22" s="13">
        <v>26.68</v>
      </c>
      <c r="E22" s="70">
        <f>19.7/1.6385</f>
        <v>12.023191943851083</v>
      </c>
      <c r="F22" s="14">
        <f t="shared" si="1"/>
        <v>320.77876106194691</v>
      </c>
      <c r="G22" s="13"/>
    </row>
    <row r="23" spans="1:7" ht="53.4" thickBot="1" x14ac:dyDescent="0.35">
      <c r="A23" s="102" t="s">
        <v>323</v>
      </c>
      <c r="B23" s="71" t="s">
        <v>324</v>
      </c>
      <c r="C23" s="13" t="s">
        <v>15</v>
      </c>
      <c r="D23" s="13">
        <v>26.68</v>
      </c>
      <c r="E23" s="70">
        <f>9.25/1.6385</f>
        <v>5.6454073848031738</v>
      </c>
      <c r="F23" s="14">
        <f t="shared" si="1"/>
        <v>150.61946902654867</v>
      </c>
      <c r="G23" s="13"/>
    </row>
    <row r="24" spans="1:7" ht="27" thickBot="1" x14ac:dyDescent="0.35">
      <c r="A24" s="102" t="s">
        <v>325</v>
      </c>
      <c r="B24" s="71" t="s">
        <v>326</v>
      </c>
      <c r="C24" s="13" t="s">
        <v>295</v>
      </c>
      <c r="D24" s="13">
        <v>12.7</v>
      </c>
      <c r="E24" s="70">
        <f>36.7734016666667/1.6385</f>
        <v>22.443333333333353</v>
      </c>
      <c r="F24" s="14">
        <f t="shared" si="1"/>
        <v>285.03033333333354</v>
      </c>
      <c r="G24" s="13"/>
    </row>
    <row r="25" spans="1:7" ht="238.2" thickBot="1" x14ac:dyDescent="0.35">
      <c r="A25" s="102" t="s">
        <v>327</v>
      </c>
      <c r="B25" s="71" t="s">
        <v>328</v>
      </c>
      <c r="C25" s="13" t="s">
        <v>15</v>
      </c>
      <c r="D25" s="13">
        <v>24</v>
      </c>
      <c r="E25" s="10">
        <f>33.32/1.6385</f>
        <v>20.335672871528836</v>
      </c>
      <c r="F25" s="14">
        <f t="shared" si="1"/>
        <v>488.05614891669205</v>
      </c>
      <c r="G25" s="13"/>
    </row>
    <row r="26" spans="1:7" ht="53.4" thickBot="1" x14ac:dyDescent="0.35">
      <c r="A26" s="102" t="s">
        <v>329</v>
      </c>
      <c r="B26" s="71" t="s">
        <v>330</v>
      </c>
      <c r="C26" s="13" t="s">
        <v>15</v>
      </c>
      <c r="D26" s="13">
        <v>24</v>
      </c>
      <c r="E26" s="10">
        <f>89.6/1.6385</f>
        <v>54.68416234360695</v>
      </c>
      <c r="F26" s="14">
        <f t="shared" si="1"/>
        <v>1312.4198962465669</v>
      </c>
      <c r="G26" s="13"/>
    </row>
    <row r="27" spans="1:7" ht="27" thickBot="1" x14ac:dyDescent="0.35">
      <c r="A27" s="102" t="s">
        <v>331</v>
      </c>
      <c r="B27" s="71" t="s">
        <v>332</v>
      </c>
      <c r="C27" s="72" t="s">
        <v>333</v>
      </c>
      <c r="D27" s="13">
        <v>1</v>
      </c>
      <c r="E27" s="70">
        <f>930.258375/1.6385</f>
        <v>567.75</v>
      </c>
      <c r="F27" s="14">
        <f t="shared" si="1"/>
        <v>567.75</v>
      </c>
      <c r="G27" s="13"/>
    </row>
    <row r="28" spans="1:7" ht="93" thickBot="1" x14ac:dyDescent="0.35">
      <c r="A28" s="102" t="s">
        <v>334</v>
      </c>
      <c r="B28" s="68" t="s">
        <v>335</v>
      </c>
      <c r="C28" s="69" t="s">
        <v>295</v>
      </c>
      <c r="D28" s="13">
        <v>2</v>
      </c>
      <c r="E28" s="70">
        <f>98.14/1.6385</f>
        <v>59.896246566981993</v>
      </c>
      <c r="F28" s="14">
        <f t="shared" si="1"/>
        <v>119.79249313396399</v>
      </c>
      <c r="G28" s="13"/>
    </row>
    <row r="29" spans="1:7" ht="40.200000000000003" thickBot="1" x14ac:dyDescent="0.35">
      <c r="A29" s="102" t="s">
        <v>336</v>
      </c>
      <c r="B29" s="71" t="s">
        <v>337</v>
      </c>
      <c r="C29" s="72" t="s">
        <v>243</v>
      </c>
      <c r="D29" s="13">
        <v>0</v>
      </c>
      <c r="E29" s="70">
        <f>75.839611/1.6385</f>
        <v>46.286000000000001</v>
      </c>
      <c r="F29" s="14">
        <f t="shared" si="1"/>
        <v>0</v>
      </c>
      <c r="G29" s="13"/>
    </row>
    <row r="30" spans="1:7" ht="27" thickBot="1" x14ac:dyDescent="0.35">
      <c r="A30" s="102" t="s">
        <v>338</v>
      </c>
      <c r="B30" s="71" t="s">
        <v>339</v>
      </c>
      <c r="C30" s="13" t="s">
        <v>36</v>
      </c>
      <c r="D30" s="13">
        <v>1</v>
      </c>
      <c r="E30" s="70">
        <f>1481/1.6385</f>
        <v>903.87549588037837</v>
      </c>
      <c r="F30" s="14">
        <f t="shared" si="1"/>
        <v>903.87549588037837</v>
      </c>
      <c r="G30" s="13"/>
    </row>
    <row r="31" spans="1:7" ht="27" thickBot="1" x14ac:dyDescent="0.35">
      <c r="A31" s="102" t="s">
        <v>340</v>
      </c>
      <c r="B31" s="49" t="s">
        <v>341</v>
      </c>
      <c r="C31" s="13" t="s">
        <v>117</v>
      </c>
      <c r="D31" s="13">
        <v>1</v>
      </c>
      <c r="E31" s="14">
        <f>3108/1.6385</f>
        <v>1896.8568812938663</v>
      </c>
      <c r="F31" s="14">
        <f t="shared" si="1"/>
        <v>1896.8568812938663</v>
      </c>
      <c r="G31" s="13"/>
    </row>
    <row r="32" spans="1:7" ht="66.599999999999994" thickBot="1" x14ac:dyDescent="0.35">
      <c r="A32" s="102" t="s">
        <v>342</v>
      </c>
      <c r="B32" s="71" t="s">
        <v>343</v>
      </c>
      <c r="C32" s="13" t="s">
        <v>15</v>
      </c>
      <c r="D32" s="13">
        <v>26.68</v>
      </c>
      <c r="E32" s="14">
        <f>9.97/1.6385</f>
        <v>6.084833689350015</v>
      </c>
      <c r="F32" s="14">
        <f t="shared" si="1"/>
        <v>162.3433628318584</v>
      </c>
      <c r="G32" s="13"/>
    </row>
    <row r="33" spans="1:7" ht="79.8" thickBot="1" x14ac:dyDescent="0.35">
      <c r="A33" s="102" t="s">
        <v>344</v>
      </c>
      <c r="B33" s="71" t="s">
        <v>345</v>
      </c>
      <c r="C33" s="13" t="s">
        <v>117</v>
      </c>
      <c r="D33" s="13">
        <v>1</v>
      </c>
      <c r="E33" s="70">
        <f>218.14/1.6385</f>
        <v>133.13396399145557</v>
      </c>
      <c r="F33" s="14">
        <f t="shared" si="1"/>
        <v>133.13396399145557</v>
      </c>
      <c r="G33" s="13"/>
    </row>
    <row r="34" spans="1:7" ht="16.2" thickBot="1" x14ac:dyDescent="0.35">
      <c r="A34" s="102" t="s">
        <v>346</v>
      </c>
      <c r="B34" s="1" t="s">
        <v>347</v>
      </c>
      <c r="C34" s="13" t="s">
        <v>71</v>
      </c>
      <c r="D34" s="13">
        <v>1</v>
      </c>
      <c r="E34" s="80">
        <f>1465.90378846154/1.6385</f>
        <v>894.66206192342997</v>
      </c>
      <c r="F34" s="14">
        <f>D34*E34</f>
        <v>894.66206192342997</v>
      </c>
      <c r="G34" s="13"/>
    </row>
    <row r="35" spans="1:7" ht="93" thickBot="1" x14ac:dyDescent="0.35">
      <c r="A35" s="102" t="s">
        <v>348</v>
      </c>
      <c r="B35" s="9" t="s">
        <v>349</v>
      </c>
      <c r="C35" s="13" t="s">
        <v>36</v>
      </c>
      <c r="D35" s="13">
        <v>2</v>
      </c>
      <c r="E35" s="14">
        <f>1531.4/1.6385</f>
        <v>934.63533719865734</v>
      </c>
      <c r="F35" s="14">
        <f>D35*E35</f>
        <v>1869.2706743973147</v>
      </c>
      <c r="G35" s="13"/>
    </row>
  </sheetData>
  <mergeCells count="6">
    <mergeCell ref="A1:G1"/>
    <mergeCell ref="A2:G2"/>
    <mergeCell ref="B4:F4"/>
    <mergeCell ref="B13:F13"/>
    <mergeCell ref="I4:K4"/>
    <mergeCell ref="I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3"/>
  <sheetViews>
    <sheetView topLeftCell="A38" workbookViewId="0">
      <selection activeCell="G16" sqref="G16"/>
    </sheetView>
  </sheetViews>
  <sheetFormatPr baseColWidth="10" defaultColWidth="11.44140625" defaultRowHeight="14.4" x14ac:dyDescent="0.3"/>
  <cols>
    <col min="2" max="2" width="25.109375" customWidth="1"/>
  </cols>
  <sheetData>
    <row r="1" spans="1:7" ht="25.8" thickBot="1" x14ac:dyDescent="0.35">
      <c r="A1" s="228" t="s">
        <v>0</v>
      </c>
      <c r="B1" s="228"/>
      <c r="C1" s="228"/>
      <c r="D1" s="228"/>
      <c r="E1" s="228"/>
      <c r="F1" s="228"/>
      <c r="G1" s="228"/>
    </row>
    <row r="2" spans="1:7" ht="21" thickBot="1" x14ac:dyDescent="0.35">
      <c r="A2" s="229" t="s">
        <v>350</v>
      </c>
      <c r="B2" s="229"/>
      <c r="C2" s="229"/>
      <c r="D2" s="229"/>
      <c r="E2" s="229"/>
      <c r="F2" s="229"/>
      <c r="G2" s="229"/>
    </row>
    <row r="3" spans="1:7" ht="47.4" thickBot="1" x14ac:dyDescent="0.35">
      <c r="A3" s="21" t="s">
        <v>4</v>
      </c>
      <c r="B3" s="21" t="s">
        <v>139</v>
      </c>
      <c r="C3" s="21" t="s">
        <v>32</v>
      </c>
      <c r="D3" s="21" t="s">
        <v>7</v>
      </c>
      <c r="E3" s="21" t="s">
        <v>140</v>
      </c>
      <c r="F3" s="21" t="s">
        <v>141</v>
      </c>
      <c r="G3" s="21" t="s">
        <v>151</v>
      </c>
    </row>
    <row r="4" spans="1:7" ht="16.2" thickBot="1" x14ac:dyDescent="0.35">
      <c r="A4" s="64" t="s">
        <v>351</v>
      </c>
      <c r="B4" s="232" t="s">
        <v>352</v>
      </c>
      <c r="C4" s="232"/>
      <c r="D4" s="232"/>
      <c r="E4" s="232"/>
      <c r="F4" s="232"/>
      <c r="G4" s="100">
        <f>SUM(F6:F11)+SUM(F13:F14)+SUM(F16:F22)+SUM(F24:F25)+SUM(F27)+SUM(F29:F32)+SUM(F34:F36)+F38+SUM(F40:F41)</f>
        <v>5782.8522136100073</v>
      </c>
    </row>
    <row r="5" spans="1:7" ht="15" thickBot="1" x14ac:dyDescent="0.35">
      <c r="A5" s="11" t="s">
        <v>353</v>
      </c>
      <c r="B5" s="231" t="s">
        <v>88</v>
      </c>
      <c r="C5" s="231"/>
      <c r="D5" s="231"/>
      <c r="E5" s="231"/>
      <c r="F5" s="231"/>
      <c r="G5" s="231"/>
    </row>
    <row r="6" spans="1:7" ht="15" thickBot="1" x14ac:dyDescent="0.35">
      <c r="A6" s="12" t="s">
        <v>354</v>
      </c>
      <c r="B6" s="16" t="s">
        <v>95</v>
      </c>
      <c r="C6" s="13" t="s">
        <v>15</v>
      </c>
      <c r="D6" s="13">
        <v>4.5999999999999996</v>
      </c>
      <c r="E6" s="14">
        <f>3.17/1.6385</f>
        <v>1.9346963686298442</v>
      </c>
      <c r="F6" s="14">
        <f>D6*E6</f>
        <v>8.8996032956972826</v>
      </c>
      <c r="G6" s="13"/>
    </row>
    <row r="7" spans="1:7" ht="27" thickBot="1" x14ac:dyDescent="0.35">
      <c r="A7" s="12" t="s">
        <v>355</v>
      </c>
      <c r="B7" s="15" t="s">
        <v>157</v>
      </c>
      <c r="C7" s="13" t="s">
        <v>29</v>
      </c>
      <c r="D7" s="13">
        <v>1.65</v>
      </c>
      <c r="E7" s="14">
        <f>22.39/1.6385</f>
        <v>13.664937442783033</v>
      </c>
      <c r="F7" s="14">
        <f t="shared" ref="F7:F11" si="0">D7*E7</f>
        <v>22.547146780592005</v>
      </c>
      <c r="G7" s="13"/>
    </row>
    <row r="8" spans="1:7" ht="53.4" thickBot="1" x14ac:dyDescent="0.35">
      <c r="A8" s="12" t="s">
        <v>356</v>
      </c>
      <c r="B8" s="15" t="s">
        <v>159</v>
      </c>
      <c r="C8" s="13" t="s">
        <v>29</v>
      </c>
      <c r="D8" s="13">
        <v>2.2799999999999998</v>
      </c>
      <c r="E8" s="14">
        <f>40.64/1.6385</f>
        <v>24.803173634421725</v>
      </c>
      <c r="F8" s="14">
        <f t="shared" si="0"/>
        <v>56.551235886481528</v>
      </c>
      <c r="G8" s="13"/>
    </row>
    <row r="9" spans="1:7" ht="40.200000000000003" thickBot="1" x14ac:dyDescent="0.35">
      <c r="A9" s="12" t="s">
        <v>357</v>
      </c>
      <c r="B9" s="9" t="s">
        <v>161</v>
      </c>
      <c r="C9" s="13" t="s">
        <v>29</v>
      </c>
      <c r="D9" s="13">
        <v>0.63</v>
      </c>
      <c r="E9" s="14">
        <f>645.31/1.6385</f>
        <v>393.84192859322548</v>
      </c>
      <c r="F9" s="14">
        <f t="shared" si="0"/>
        <v>248.12041501373204</v>
      </c>
      <c r="G9" s="13"/>
    </row>
    <row r="10" spans="1:7" ht="53.4" thickBot="1" x14ac:dyDescent="0.35">
      <c r="A10" s="12" t="s">
        <v>358</v>
      </c>
      <c r="B10" s="9" t="s">
        <v>163</v>
      </c>
      <c r="C10" s="13" t="s">
        <v>15</v>
      </c>
      <c r="D10" s="13">
        <v>25.08</v>
      </c>
      <c r="E10" s="14">
        <f>73.12/1.6385</f>
        <v>44.62618248397925</v>
      </c>
      <c r="F10" s="14">
        <f t="shared" si="0"/>
        <v>1119.2246566981994</v>
      </c>
      <c r="G10" s="13"/>
    </row>
    <row r="11" spans="1:7" ht="27" thickBot="1" x14ac:dyDescent="0.35">
      <c r="A11" s="12" t="s">
        <v>359</v>
      </c>
      <c r="B11" s="15" t="s">
        <v>165</v>
      </c>
      <c r="C11" s="13" t="s">
        <v>15</v>
      </c>
      <c r="D11" s="13">
        <v>0</v>
      </c>
      <c r="E11" s="14">
        <f>72.61/1.6385</f>
        <v>44.314922184925237</v>
      </c>
      <c r="F11" s="14">
        <f t="shared" si="0"/>
        <v>0</v>
      </c>
      <c r="G11" s="13"/>
    </row>
    <row r="12" spans="1:7" ht="15" thickBot="1" x14ac:dyDescent="0.35">
      <c r="A12" s="11" t="s">
        <v>360</v>
      </c>
      <c r="B12" s="233" t="s">
        <v>167</v>
      </c>
      <c r="C12" s="233"/>
      <c r="D12" s="233"/>
      <c r="E12" s="233"/>
      <c r="F12" s="233"/>
      <c r="G12" s="233"/>
    </row>
    <row r="13" spans="1:7" ht="383.4" thickBot="1" x14ac:dyDescent="0.35">
      <c r="A13" s="12" t="s">
        <v>361</v>
      </c>
      <c r="B13" s="18" t="s">
        <v>362</v>
      </c>
      <c r="C13" s="13" t="s">
        <v>15</v>
      </c>
      <c r="D13" s="13">
        <v>4.5999999999999996</v>
      </c>
      <c r="E13" s="14">
        <f>183.29/1.6385</f>
        <v>111.86451022276472</v>
      </c>
      <c r="F13" s="14">
        <f>D13*E13</f>
        <v>514.57674702471763</v>
      </c>
      <c r="G13" s="13"/>
    </row>
    <row r="14" spans="1:7" ht="119.4" thickBot="1" x14ac:dyDescent="0.35">
      <c r="A14" s="12" t="s">
        <v>363</v>
      </c>
      <c r="B14" s="9" t="s">
        <v>171</v>
      </c>
      <c r="C14" s="13" t="s">
        <v>15</v>
      </c>
      <c r="D14" s="13">
        <v>0</v>
      </c>
      <c r="E14" s="14">
        <f>65.28/1.6385</f>
        <v>39.84131827891364</v>
      </c>
      <c r="F14" s="14">
        <f>D14*E14</f>
        <v>0</v>
      </c>
      <c r="G14" s="13"/>
    </row>
    <row r="15" spans="1:7" ht="15" thickBot="1" x14ac:dyDescent="0.35">
      <c r="A15" s="12" t="s">
        <v>364</v>
      </c>
      <c r="B15" s="231" t="s">
        <v>74</v>
      </c>
      <c r="C15" s="231"/>
      <c r="D15" s="231"/>
      <c r="E15" s="231"/>
      <c r="F15" s="231"/>
      <c r="G15" s="231"/>
    </row>
    <row r="16" spans="1:7" ht="79.8" thickBot="1" x14ac:dyDescent="0.35">
      <c r="A16" s="12" t="s">
        <v>365</v>
      </c>
      <c r="B16" s="9" t="s">
        <v>266</v>
      </c>
      <c r="C16" s="13" t="s">
        <v>15</v>
      </c>
      <c r="D16" s="13">
        <v>4.5999999999999996</v>
      </c>
      <c r="E16" s="14">
        <f>62.99/1.6385</f>
        <v>38.443698504729937</v>
      </c>
      <c r="F16" s="14">
        <f>D16*E16</f>
        <v>176.8410131217577</v>
      </c>
      <c r="G16" s="13"/>
    </row>
    <row r="17" spans="1:7" ht="40.200000000000003" thickBot="1" x14ac:dyDescent="0.35">
      <c r="A17" s="12" t="s">
        <v>366</v>
      </c>
      <c r="B17" s="9" t="s">
        <v>182</v>
      </c>
      <c r="C17" s="13" t="s">
        <v>24</v>
      </c>
      <c r="D17" s="13">
        <v>7.9</v>
      </c>
      <c r="E17" s="14">
        <f>41.19/1.6385</f>
        <v>25.138846505950561</v>
      </c>
      <c r="F17" s="14">
        <f t="shared" ref="F17:F22" si="1">D17*E17</f>
        <v>198.59688739700943</v>
      </c>
      <c r="G17" s="13"/>
    </row>
    <row r="18" spans="1:7" ht="66.599999999999994" thickBot="1" x14ac:dyDescent="0.35">
      <c r="A18" s="12" t="s">
        <v>367</v>
      </c>
      <c r="B18" s="9" t="s">
        <v>186</v>
      </c>
      <c r="C18" s="13" t="s">
        <v>15</v>
      </c>
      <c r="D18" s="13">
        <v>50.16</v>
      </c>
      <c r="E18" s="14">
        <f>22.34/1.6385</f>
        <v>13.634421727189501</v>
      </c>
      <c r="F18" s="14">
        <f t="shared" si="1"/>
        <v>683.90259383582531</v>
      </c>
      <c r="G18" s="13"/>
    </row>
    <row r="19" spans="1:7" ht="53.4" thickBot="1" x14ac:dyDescent="0.35">
      <c r="A19" s="12" t="s">
        <v>368</v>
      </c>
      <c r="B19" s="9" t="s">
        <v>188</v>
      </c>
      <c r="C19" s="13" t="s">
        <v>15</v>
      </c>
      <c r="D19" s="13">
        <v>37.619999999999997</v>
      </c>
      <c r="E19" s="14">
        <f>7.56/1.6385</f>
        <v>4.6139761977418363</v>
      </c>
      <c r="F19" s="14">
        <f t="shared" si="1"/>
        <v>173.57778455904787</v>
      </c>
      <c r="G19" s="13"/>
    </row>
    <row r="20" spans="1:7" ht="79.8" thickBot="1" x14ac:dyDescent="0.35">
      <c r="A20" s="12" t="s">
        <v>369</v>
      </c>
      <c r="B20" s="9" t="s">
        <v>190</v>
      </c>
      <c r="C20" s="13" t="s">
        <v>15</v>
      </c>
      <c r="D20" s="13">
        <v>25.08</v>
      </c>
      <c r="E20" s="14">
        <f>10.59/1.6385</f>
        <v>6.4632285627097952</v>
      </c>
      <c r="F20" s="14">
        <f t="shared" si="1"/>
        <v>162.09777235276167</v>
      </c>
      <c r="G20" s="13"/>
    </row>
    <row r="21" spans="1:7" ht="79.8" thickBot="1" x14ac:dyDescent="0.35">
      <c r="A21" s="12" t="s">
        <v>370</v>
      </c>
      <c r="B21" s="9" t="s">
        <v>371</v>
      </c>
      <c r="C21" s="13" t="s">
        <v>15</v>
      </c>
      <c r="D21" s="13">
        <v>12.54</v>
      </c>
      <c r="E21" s="14">
        <f>9.97/1.6385</f>
        <v>6.084833689350015</v>
      </c>
      <c r="F21" s="14">
        <f t="shared" si="1"/>
        <v>76.303814464449189</v>
      </c>
      <c r="G21" s="13"/>
    </row>
    <row r="22" spans="1:7" ht="145.80000000000001" thickBot="1" x14ac:dyDescent="0.35">
      <c r="A22" s="12" t="s">
        <v>372</v>
      </c>
      <c r="B22" s="9" t="s">
        <v>194</v>
      </c>
      <c r="C22" s="13" t="s">
        <v>15</v>
      </c>
      <c r="D22" s="13">
        <v>12.54</v>
      </c>
      <c r="E22" s="14">
        <f>55.2/1.6385</f>
        <v>33.689350015257858</v>
      </c>
      <c r="F22" s="14">
        <f t="shared" si="1"/>
        <v>422.46444919133353</v>
      </c>
      <c r="G22" s="13"/>
    </row>
    <row r="23" spans="1:7" ht="15" thickBot="1" x14ac:dyDescent="0.35">
      <c r="A23" s="11" t="s">
        <v>373</v>
      </c>
      <c r="B23" s="231" t="s">
        <v>196</v>
      </c>
      <c r="C23" s="231"/>
      <c r="D23" s="231"/>
      <c r="E23" s="231"/>
      <c r="F23" s="231"/>
      <c r="G23" s="231"/>
    </row>
    <row r="24" spans="1:7" ht="66.599999999999994" thickBot="1" x14ac:dyDescent="0.35">
      <c r="A24" s="12" t="s">
        <v>374</v>
      </c>
      <c r="B24" s="9" t="s">
        <v>200</v>
      </c>
      <c r="C24" s="13" t="s">
        <v>15</v>
      </c>
      <c r="D24" s="13">
        <v>0.64</v>
      </c>
      <c r="E24" s="10">
        <f>81.93/1.6385</f>
        <v>50.003051571559354</v>
      </c>
      <c r="F24" s="14">
        <f>D24*E24</f>
        <v>32.001953005797986</v>
      </c>
      <c r="G24" s="13"/>
    </row>
    <row r="25" spans="1:7" ht="145.80000000000001" thickBot="1" x14ac:dyDescent="0.35">
      <c r="A25" s="12" t="s">
        <v>375</v>
      </c>
      <c r="B25" s="9" t="s">
        <v>202</v>
      </c>
      <c r="C25" s="13" t="s">
        <v>15</v>
      </c>
      <c r="D25" s="13">
        <v>0.64</v>
      </c>
      <c r="E25" s="10">
        <f>271.42/1.6385</f>
        <v>165.65151052792189</v>
      </c>
      <c r="F25" s="14">
        <f>D25*E25</f>
        <v>106.01696673787001</v>
      </c>
      <c r="G25" s="13"/>
    </row>
    <row r="26" spans="1:7" ht="15" thickBot="1" x14ac:dyDescent="0.35">
      <c r="A26" s="11" t="s">
        <v>376</v>
      </c>
      <c r="B26" s="233" t="s">
        <v>204</v>
      </c>
      <c r="C26" s="233"/>
      <c r="D26" s="233"/>
      <c r="E26" s="233"/>
      <c r="F26" s="233"/>
      <c r="G26" s="233"/>
    </row>
    <row r="27" spans="1:7" ht="185.4" thickBot="1" x14ac:dyDescent="0.35">
      <c r="A27" s="12" t="s">
        <v>377</v>
      </c>
      <c r="B27" s="9" t="s">
        <v>378</v>
      </c>
      <c r="C27" s="13" t="s">
        <v>36</v>
      </c>
      <c r="D27" s="13">
        <v>1</v>
      </c>
      <c r="E27" s="10">
        <f>415.21/1.6385</f>
        <v>253.40860543179735</v>
      </c>
      <c r="F27" s="14">
        <f>D27*E27</f>
        <v>253.40860543179735</v>
      </c>
      <c r="G27" s="13"/>
    </row>
    <row r="28" spans="1:7" ht="15" thickBot="1" x14ac:dyDescent="0.35">
      <c r="A28" s="11" t="s">
        <v>379</v>
      </c>
      <c r="B28" s="233" t="s">
        <v>212</v>
      </c>
      <c r="C28" s="233"/>
      <c r="D28" s="233"/>
      <c r="E28" s="233"/>
      <c r="F28" s="233"/>
      <c r="G28" s="233"/>
    </row>
    <row r="29" spans="1:7" ht="93" thickBot="1" x14ac:dyDescent="0.35">
      <c r="A29" s="12" t="s">
        <v>380</v>
      </c>
      <c r="B29" s="9" t="s">
        <v>381</v>
      </c>
      <c r="C29" s="13" t="s">
        <v>36</v>
      </c>
      <c r="D29" s="13">
        <v>0</v>
      </c>
      <c r="E29" s="10">
        <f>470.84/1.6385</f>
        <v>287.36039060115957</v>
      </c>
      <c r="F29" s="14">
        <f>D29*E29</f>
        <v>0</v>
      </c>
      <c r="G29" s="13"/>
    </row>
    <row r="30" spans="1:7" ht="93" thickBot="1" x14ac:dyDescent="0.35">
      <c r="A30" s="12" t="s">
        <v>382</v>
      </c>
      <c r="B30" s="9" t="s">
        <v>383</v>
      </c>
      <c r="C30" s="13" t="s">
        <v>36</v>
      </c>
      <c r="D30" s="13">
        <v>1</v>
      </c>
      <c r="E30" s="10">
        <f>214.13/1.6385</f>
        <v>130.68660360085443</v>
      </c>
      <c r="F30" s="14">
        <f>D30*E30</f>
        <v>130.68660360085443</v>
      </c>
      <c r="G30" s="13"/>
    </row>
    <row r="31" spans="1:7" ht="53.4" thickBot="1" x14ac:dyDescent="0.35">
      <c r="A31" s="12" t="s">
        <v>384</v>
      </c>
      <c r="B31" s="20" t="s">
        <v>270</v>
      </c>
      <c r="C31" s="13" t="s">
        <v>36</v>
      </c>
      <c r="D31" s="13">
        <v>2</v>
      </c>
      <c r="E31" s="10">
        <f>274.955076/1.6385</f>
        <v>167.80901800427222</v>
      </c>
      <c r="F31" s="14">
        <f>D31*E31</f>
        <v>335.61803600854444</v>
      </c>
      <c r="G31" s="13"/>
    </row>
    <row r="32" spans="1:7" ht="185.4" thickBot="1" x14ac:dyDescent="0.35">
      <c r="A32" s="12" t="s">
        <v>385</v>
      </c>
      <c r="B32" s="9" t="s">
        <v>386</v>
      </c>
      <c r="C32" s="13" t="s">
        <v>36</v>
      </c>
      <c r="D32" s="13">
        <v>1</v>
      </c>
      <c r="E32" s="10">
        <f>569.53/1.6385</f>
        <v>347.59231003967039</v>
      </c>
      <c r="F32" s="14">
        <f>D32*E32</f>
        <v>347.59231003967039</v>
      </c>
      <c r="G32" s="13"/>
    </row>
    <row r="33" spans="1:7" ht="15" thickBot="1" x14ac:dyDescent="0.35">
      <c r="A33" s="11" t="s">
        <v>387</v>
      </c>
      <c r="B33" s="231" t="s">
        <v>220</v>
      </c>
      <c r="C33" s="231"/>
      <c r="D33" s="231"/>
      <c r="E33" s="231"/>
      <c r="F33" s="231"/>
      <c r="G33" s="231"/>
    </row>
    <row r="34" spans="1:7" ht="119.4" thickBot="1" x14ac:dyDescent="0.35">
      <c r="A34" s="12" t="s">
        <v>388</v>
      </c>
      <c r="B34" s="9" t="s">
        <v>389</v>
      </c>
      <c r="C34" s="13" t="s">
        <v>36</v>
      </c>
      <c r="D34" s="13">
        <v>1</v>
      </c>
      <c r="E34" s="10">
        <f>40.29/1.6385</f>
        <v>24.589563625267012</v>
      </c>
      <c r="F34" s="14">
        <f>D34*E34</f>
        <v>24.589563625267012</v>
      </c>
      <c r="G34" s="13"/>
    </row>
    <row r="35" spans="1:7" ht="159" thickBot="1" x14ac:dyDescent="0.35">
      <c r="A35" s="12" t="s">
        <v>390</v>
      </c>
      <c r="B35" s="9" t="s">
        <v>391</v>
      </c>
      <c r="C35" s="13" t="s">
        <v>36</v>
      </c>
      <c r="D35" s="13">
        <v>1</v>
      </c>
      <c r="E35" s="10">
        <f>243.65/1.6385</f>
        <v>148.70308208727494</v>
      </c>
      <c r="F35" s="14">
        <f>D35*E35</f>
        <v>148.70308208727494</v>
      </c>
      <c r="G35" s="13"/>
    </row>
    <row r="36" spans="1:7" ht="119.4" thickBot="1" x14ac:dyDescent="0.35">
      <c r="A36" s="12" t="s">
        <v>392</v>
      </c>
      <c r="B36" s="9" t="s">
        <v>252</v>
      </c>
      <c r="C36" s="13" t="s">
        <v>36</v>
      </c>
      <c r="D36" s="13">
        <v>1</v>
      </c>
      <c r="E36" s="10">
        <f>105.92/1.6385</f>
        <v>64.644491913335372</v>
      </c>
      <c r="F36" s="14">
        <f>D36*E36</f>
        <v>64.644491913335372</v>
      </c>
      <c r="G36" s="13"/>
    </row>
    <row r="37" spans="1:7" ht="15" thickBot="1" x14ac:dyDescent="0.35">
      <c r="A37" s="11" t="s">
        <v>393</v>
      </c>
      <c r="B37" s="231" t="s">
        <v>394</v>
      </c>
      <c r="C37" s="231"/>
      <c r="D37" s="231"/>
      <c r="E37" s="231"/>
      <c r="F37" s="231"/>
      <c r="G37" s="231"/>
    </row>
    <row r="38" spans="1:7" ht="79.8" thickBot="1" x14ac:dyDescent="0.35">
      <c r="A38" s="12" t="s">
        <v>395</v>
      </c>
      <c r="B38" s="15" t="s">
        <v>396</v>
      </c>
      <c r="C38" s="13" t="s">
        <v>24</v>
      </c>
      <c r="D38" s="13">
        <v>5</v>
      </c>
      <c r="E38" s="14">
        <f>26.89/1.6385</f>
        <v>16.411351846200795</v>
      </c>
      <c r="F38" s="14">
        <f>D38*E38</f>
        <v>82.05675923100398</v>
      </c>
      <c r="G38" s="13"/>
    </row>
    <row r="39" spans="1:7" ht="15" thickBot="1" x14ac:dyDescent="0.35">
      <c r="A39" s="11" t="s">
        <v>397</v>
      </c>
      <c r="B39" s="231" t="s">
        <v>398</v>
      </c>
      <c r="C39" s="231"/>
      <c r="D39" s="231"/>
      <c r="E39" s="231"/>
      <c r="F39" s="231"/>
      <c r="G39" s="231"/>
    </row>
    <row r="40" spans="1:7" ht="53.4" thickBot="1" x14ac:dyDescent="0.35">
      <c r="A40" s="12" t="s">
        <v>399</v>
      </c>
      <c r="B40" s="15" t="s">
        <v>400</v>
      </c>
      <c r="C40" s="13" t="s">
        <v>24</v>
      </c>
      <c r="D40" s="13">
        <v>5</v>
      </c>
      <c r="E40" s="14">
        <f>92.22/1.6385</f>
        <v>56.283185840707965</v>
      </c>
      <c r="F40" s="14">
        <f>D40*E40</f>
        <v>281.4159292035398</v>
      </c>
      <c r="G40" s="13"/>
    </row>
    <row r="41" spans="1:7" ht="132" x14ac:dyDescent="0.3">
      <c r="A41" s="106" t="s">
        <v>401</v>
      </c>
      <c r="B41" s="107" t="s">
        <v>402</v>
      </c>
      <c r="C41" s="83" t="s">
        <v>71</v>
      </c>
      <c r="D41" s="83">
        <v>1</v>
      </c>
      <c r="E41" s="86">
        <f>184.19/1.6385</f>
        <v>112.41379310344827</v>
      </c>
      <c r="F41" s="86">
        <f>D41*E41</f>
        <v>112.41379310344827</v>
      </c>
      <c r="G41" s="83"/>
    </row>
    <row r="42" spans="1:7" x14ac:dyDescent="0.3">
      <c r="A42" s="242" t="s">
        <v>403</v>
      </c>
      <c r="B42" s="242"/>
      <c r="C42" s="242"/>
      <c r="D42" s="242"/>
      <c r="E42" s="242"/>
      <c r="F42" s="242"/>
      <c r="G42" s="108">
        <f>G4/4.6</f>
        <v>1257.1417855673931</v>
      </c>
    </row>
    <row r="43" spans="1:7" x14ac:dyDescent="0.3">
      <c r="B43" s="105"/>
    </row>
  </sheetData>
  <mergeCells count="13">
    <mergeCell ref="A42:F42"/>
    <mergeCell ref="B23:G23"/>
    <mergeCell ref="B26:G26"/>
    <mergeCell ref="B28:G28"/>
    <mergeCell ref="B33:G33"/>
    <mergeCell ref="B37:G37"/>
    <mergeCell ref="B39:G39"/>
    <mergeCell ref="B15:G15"/>
    <mergeCell ref="A1:G1"/>
    <mergeCell ref="A2:G2"/>
    <mergeCell ref="B4:F4"/>
    <mergeCell ref="B5:G5"/>
    <mergeCell ref="B12:G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8"/>
  <sheetViews>
    <sheetView zoomScale="70" zoomScaleNormal="70" workbookViewId="0">
      <selection activeCell="G16" sqref="G16"/>
    </sheetView>
  </sheetViews>
  <sheetFormatPr baseColWidth="10" defaultColWidth="11.44140625" defaultRowHeight="14.4" x14ac:dyDescent="0.3"/>
  <cols>
    <col min="2" max="2" width="32.5546875" customWidth="1"/>
  </cols>
  <sheetData>
    <row r="1" spans="1:11" ht="25.8" thickBot="1" x14ac:dyDescent="0.35">
      <c r="A1" s="228" t="s">
        <v>0</v>
      </c>
      <c r="B1" s="228"/>
      <c r="C1" s="228"/>
      <c r="D1" s="228"/>
      <c r="E1" s="228"/>
      <c r="F1" s="228"/>
      <c r="G1" s="228"/>
    </row>
    <row r="2" spans="1:11" ht="21" thickBot="1" x14ac:dyDescent="0.35">
      <c r="A2" s="229" t="s">
        <v>404</v>
      </c>
      <c r="B2" s="229"/>
      <c r="C2" s="229"/>
      <c r="D2" s="229"/>
      <c r="E2" s="229"/>
      <c r="F2" s="229"/>
      <c r="G2" s="229"/>
    </row>
    <row r="3" spans="1:11" ht="109.8" thickBot="1" x14ac:dyDescent="0.35">
      <c r="A3" s="21" t="s">
        <v>4</v>
      </c>
      <c r="B3" s="21" t="s">
        <v>139</v>
      </c>
      <c r="C3" s="21" t="s">
        <v>32</v>
      </c>
      <c r="D3" s="21" t="s">
        <v>7</v>
      </c>
      <c r="E3" s="21" t="s">
        <v>405</v>
      </c>
      <c r="F3" s="21" t="s">
        <v>141</v>
      </c>
      <c r="G3" s="21" t="s">
        <v>406</v>
      </c>
    </row>
    <row r="4" spans="1:11" ht="15" thickBot="1" x14ac:dyDescent="0.35">
      <c r="A4" s="22"/>
      <c r="B4" s="236" t="s">
        <v>407</v>
      </c>
      <c r="C4" s="236"/>
      <c r="D4" s="236"/>
      <c r="E4" s="236"/>
      <c r="F4" s="236"/>
      <c r="G4" s="23">
        <f>(SUM(F5:F24))/1.6385</f>
        <v>1352.4048214830639</v>
      </c>
    </row>
    <row r="5" spans="1:11" ht="21.9" customHeight="1" thickBot="1" x14ac:dyDescent="0.35">
      <c r="A5" s="39"/>
      <c r="B5" s="53" t="s">
        <v>408</v>
      </c>
      <c r="C5" s="54" t="s">
        <v>243</v>
      </c>
      <c r="D5" s="57">
        <v>1.49</v>
      </c>
      <c r="E5" s="55">
        <v>1.51</v>
      </c>
      <c r="F5" s="58">
        <f>D5*E5</f>
        <v>2.2498999999999998</v>
      </c>
      <c r="G5" s="57"/>
    </row>
    <row r="6" spans="1:11" ht="29.1" customHeight="1" thickBot="1" x14ac:dyDescent="0.35">
      <c r="A6" s="39"/>
      <c r="B6" s="53" t="s">
        <v>409</v>
      </c>
      <c r="C6" s="54" t="s">
        <v>98</v>
      </c>
      <c r="D6" s="57">
        <v>1.2</v>
      </c>
      <c r="E6" s="55">
        <v>8.7899999999999991</v>
      </c>
      <c r="F6" s="58">
        <f t="shared" ref="F6:F24" si="0">D6*E6</f>
        <v>10.547999999999998</v>
      </c>
      <c r="G6" s="57"/>
      <c r="K6" s="50"/>
    </row>
    <row r="7" spans="1:11" ht="31.2" customHeight="1" thickBot="1" x14ac:dyDescent="0.35">
      <c r="A7" s="39"/>
      <c r="B7" s="53" t="s">
        <v>410</v>
      </c>
      <c r="C7" s="54" t="s">
        <v>98</v>
      </c>
      <c r="D7" s="57">
        <v>0.32</v>
      </c>
      <c r="E7" s="55">
        <v>48.06</v>
      </c>
      <c r="F7" s="58">
        <f t="shared" si="0"/>
        <v>15.379200000000001</v>
      </c>
      <c r="G7" s="57"/>
      <c r="K7" s="50"/>
    </row>
    <row r="8" spans="1:11" ht="53.4" customHeight="1" thickBot="1" x14ac:dyDescent="0.35">
      <c r="A8" s="39"/>
      <c r="B8" s="53" t="s">
        <v>411</v>
      </c>
      <c r="C8" s="56" t="s">
        <v>412</v>
      </c>
      <c r="D8" s="57">
        <v>1</v>
      </c>
      <c r="E8" s="55">
        <v>110.12</v>
      </c>
      <c r="F8" s="58">
        <f t="shared" si="0"/>
        <v>110.12</v>
      </c>
      <c r="G8" s="57"/>
      <c r="K8" s="50"/>
    </row>
    <row r="9" spans="1:11" ht="39" customHeight="1" thickBot="1" x14ac:dyDescent="0.35">
      <c r="A9" s="39"/>
      <c r="B9" s="53" t="s">
        <v>413</v>
      </c>
      <c r="C9" s="56" t="s">
        <v>36</v>
      </c>
      <c r="D9" s="57">
        <v>1</v>
      </c>
      <c r="E9" s="55">
        <v>247.82</v>
      </c>
      <c r="F9" s="58">
        <f t="shared" si="0"/>
        <v>247.82</v>
      </c>
      <c r="G9" s="57"/>
      <c r="K9" s="50"/>
    </row>
    <row r="10" spans="1:11" ht="30.45" customHeight="1" thickBot="1" x14ac:dyDescent="0.35">
      <c r="A10" s="39"/>
      <c r="B10" s="53" t="s">
        <v>414</v>
      </c>
      <c r="C10" s="54" t="s">
        <v>98</v>
      </c>
      <c r="D10" s="57">
        <v>0.55000000000000004</v>
      </c>
      <c r="E10" s="55">
        <v>22.79</v>
      </c>
      <c r="F10" s="58">
        <f t="shared" si="0"/>
        <v>12.534500000000001</v>
      </c>
      <c r="G10" s="57"/>
      <c r="K10" s="50"/>
    </row>
    <row r="11" spans="1:11" ht="72.45" customHeight="1" thickBot="1" x14ac:dyDescent="0.35">
      <c r="A11" s="39"/>
      <c r="B11" s="53" t="s">
        <v>415</v>
      </c>
      <c r="C11" s="56" t="s">
        <v>416</v>
      </c>
      <c r="D11" s="57">
        <v>3</v>
      </c>
      <c r="E11" s="55">
        <v>42.33</v>
      </c>
      <c r="F11" s="58">
        <f t="shared" si="0"/>
        <v>126.99</v>
      </c>
      <c r="G11" s="57"/>
      <c r="K11" s="50"/>
    </row>
    <row r="12" spans="1:11" ht="26.7" customHeight="1" thickBot="1" x14ac:dyDescent="0.35">
      <c r="A12" s="39"/>
      <c r="B12" s="53" t="s">
        <v>417</v>
      </c>
      <c r="C12" s="56" t="s">
        <v>36</v>
      </c>
      <c r="D12" s="57">
        <v>1</v>
      </c>
      <c r="E12" s="55">
        <v>7.54</v>
      </c>
      <c r="F12" s="58">
        <f t="shared" si="0"/>
        <v>7.54</v>
      </c>
      <c r="G12" s="57"/>
      <c r="K12" s="50"/>
    </row>
    <row r="13" spans="1:11" ht="56.7" customHeight="1" thickBot="1" x14ac:dyDescent="0.35">
      <c r="A13" s="39"/>
      <c r="B13" s="53" t="s">
        <v>418</v>
      </c>
      <c r="C13" s="54" t="s">
        <v>243</v>
      </c>
      <c r="D13" s="57">
        <v>0.96</v>
      </c>
      <c r="E13" s="55">
        <v>6.03</v>
      </c>
      <c r="F13" s="58">
        <f t="shared" si="0"/>
        <v>5.7888000000000002</v>
      </c>
      <c r="G13" s="57"/>
      <c r="K13" s="50"/>
    </row>
    <row r="14" spans="1:11" ht="42.9" customHeight="1" thickBot="1" x14ac:dyDescent="0.35">
      <c r="A14" s="39"/>
      <c r="B14" s="53" t="s">
        <v>419</v>
      </c>
      <c r="C14" s="54" t="s">
        <v>243</v>
      </c>
      <c r="D14" s="57">
        <v>0.48</v>
      </c>
      <c r="E14" s="55">
        <v>4.53</v>
      </c>
      <c r="F14" s="58">
        <f t="shared" si="0"/>
        <v>2.1743999999999999</v>
      </c>
      <c r="G14" s="57"/>
      <c r="K14" s="50"/>
    </row>
    <row r="15" spans="1:11" ht="35.4" customHeight="1" thickBot="1" x14ac:dyDescent="0.35">
      <c r="A15" s="39"/>
      <c r="B15" s="53" t="s">
        <v>420</v>
      </c>
      <c r="C15" s="56" t="s">
        <v>295</v>
      </c>
      <c r="D15" s="57">
        <v>135.78</v>
      </c>
      <c r="E15" s="55">
        <v>8.9600000000000009</v>
      </c>
      <c r="F15" s="58">
        <f t="shared" si="0"/>
        <v>1216.5888000000002</v>
      </c>
      <c r="G15" s="57"/>
      <c r="K15" s="50"/>
    </row>
    <row r="16" spans="1:11" ht="69" customHeight="1" thickBot="1" x14ac:dyDescent="0.35">
      <c r="A16" s="39"/>
      <c r="B16" s="53" t="s">
        <v>421</v>
      </c>
      <c r="C16" s="56" t="s">
        <v>295</v>
      </c>
      <c r="D16" s="57">
        <v>0</v>
      </c>
      <c r="E16" s="55">
        <v>14.24</v>
      </c>
      <c r="F16" s="58">
        <f t="shared" si="0"/>
        <v>0</v>
      </c>
      <c r="G16" s="57"/>
      <c r="K16" s="50"/>
    </row>
    <row r="17" spans="1:11" ht="57.9" customHeight="1" thickBot="1" x14ac:dyDescent="0.35">
      <c r="A17" s="39"/>
      <c r="B17" s="53" t="s">
        <v>422</v>
      </c>
      <c r="C17" s="54" t="s">
        <v>98</v>
      </c>
      <c r="D17" s="57">
        <v>0.48</v>
      </c>
      <c r="E17" s="55">
        <v>211.88</v>
      </c>
      <c r="F17" s="58">
        <f t="shared" si="0"/>
        <v>101.7024</v>
      </c>
      <c r="G17" s="57"/>
      <c r="K17" s="50"/>
    </row>
    <row r="18" spans="1:11" ht="31.95" customHeight="1" thickBot="1" x14ac:dyDescent="0.35">
      <c r="A18" s="39"/>
      <c r="B18" s="53" t="s">
        <v>423</v>
      </c>
      <c r="C18" s="54" t="s">
        <v>243</v>
      </c>
      <c r="D18" s="57">
        <v>0.93</v>
      </c>
      <c r="E18" s="55">
        <v>52.12</v>
      </c>
      <c r="F18" s="58">
        <f t="shared" si="0"/>
        <v>48.471600000000002</v>
      </c>
      <c r="G18" s="57"/>
      <c r="K18" s="50"/>
    </row>
    <row r="19" spans="1:11" ht="52.5" customHeight="1" thickBot="1" x14ac:dyDescent="0.35">
      <c r="A19" s="39"/>
      <c r="B19" s="53" t="s">
        <v>424</v>
      </c>
      <c r="C19" s="56" t="s">
        <v>295</v>
      </c>
      <c r="D19" s="57">
        <v>7.54</v>
      </c>
      <c r="E19" s="55">
        <v>12.07</v>
      </c>
      <c r="F19" s="58">
        <f t="shared" si="0"/>
        <v>91.007800000000003</v>
      </c>
      <c r="G19" s="57"/>
      <c r="K19" s="50"/>
    </row>
    <row r="20" spans="1:11" ht="38.4" customHeight="1" thickBot="1" x14ac:dyDescent="0.35">
      <c r="A20" s="39"/>
      <c r="B20" s="53" t="s">
        <v>425</v>
      </c>
      <c r="C20" s="54" t="s">
        <v>243</v>
      </c>
      <c r="D20" s="57">
        <v>2.92</v>
      </c>
      <c r="E20" s="55">
        <v>9.35</v>
      </c>
      <c r="F20" s="58">
        <f t="shared" si="0"/>
        <v>27.302</v>
      </c>
      <c r="G20" s="57"/>
      <c r="K20" s="50"/>
    </row>
    <row r="21" spans="1:11" ht="36.6" customHeight="1" thickBot="1" x14ac:dyDescent="0.35">
      <c r="A21" s="39"/>
      <c r="B21" s="53" t="s">
        <v>426</v>
      </c>
      <c r="C21" s="54" t="s">
        <v>243</v>
      </c>
      <c r="D21" s="57">
        <v>2.92</v>
      </c>
      <c r="E21" s="55">
        <v>3.59</v>
      </c>
      <c r="F21" s="58">
        <f t="shared" si="0"/>
        <v>10.482799999999999</v>
      </c>
      <c r="G21" s="57"/>
      <c r="K21" s="50"/>
    </row>
    <row r="22" spans="1:11" ht="58.2" customHeight="1" thickBot="1" x14ac:dyDescent="0.35">
      <c r="A22" s="39"/>
      <c r="B22" s="53" t="s">
        <v>427</v>
      </c>
      <c r="C22" s="54" t="s">
        <v>98</v>
      </c>
      <c r="D22" s="57">
        <v>0.05</v>
      </c>
      <c r="E22" s="55">
        <v>452.57</v>
      </c>
      <c r="F22" s="58">
        <f t="shared" si="0"/>
        <v>22.628500000000003</v>
      </c>
      <c r="G22" s="57"/>
      <c r="K22" s="50"/>
    </row>
    <row r="23" spans="1:11" ht="53.1" customHeight="1" thickBot="1" x14ac:dyDescent="0.35">
      <c r="A23" s="39"/>
      <c r="B23" s="53" t="s">
        <v>428</v>
      </c>
      <c r="C23" s="54" t="s">
        <v>243</v>
      </c>
      <c r="D23" s="57">
        <v>0.86</v>
      </c>
      <c r="E23" s="55">
        <v>45.26</v>
      </c>
      <c r="F23" s="58">
        <f t="shared" si="0"/>
        <v>38.9236</v>
      </c>
      <c r="G23" s="57"/>
      <c r="K23" s="50"/>
    </row>
    <row r="24" spans="1:11" ht="58.5" customHeight="1" thickBot="1" x14ac:dyDescent="0.35">
      <c r="A24" s="39"/>
      <c r="B24" s="53" t="s">
        <v>429</v>
      </c>
      <c r="C24" s="56" t="s">
        <v>295</v>
      </c>
      <c r="D24" s="57">
        <v>1.3</v>
      </c>
      <c r="E24" s="55">
        <v>90.51</v>
      </c>
      <c r="F24" s="58">
        <f t="shared" si="0"/>
        <v>117.66300000000001</v>
      </c>
      <c r="G24" s="57"/>
      <c r="K24" s="50"/>
    </row>
    <row r="25" spans="1:11" x14ac:dyDescent="0.3">
      <c r="K25" s="50"/>
    </row>
    <row r="27" spans="1:11" x14ac:dyDescent="0.3">
      <c r="K27" s="51"/>
    </row>
    <row r="28" spans="1:11" x14ac:dyDescent="0.3">
      <c r="K28" s="52"/>
    </row>
  </sheetData>
  <mergeCells count="3">
    <mergeCell ref="A1:G1"/>
    <mergeCell ref="A2:G2"/>
    <mergeCell ref="B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PLAN DE OFERTA</vt:lpstr>
      <vt:lpstr>Resumen de entrega</vt:lpstr>
      <vt:lpstr>Cancha</vt:lpstr>
      <vt:lpstr>Administracion</vt:lpstr>
      <vt:lpstr>Modulo de sanitarios</vt:lpstr>
      <vt:lpstr>rehabilitacion de un aula </vt:lpstr>
      <vt:lpstr>Cerca perimetr y acceso peatona</vt:lpstr>
      <vt:lpstr>Sanitario para minusvalidos</vt:lpstr>
      <vt:lpstr>mesa y sombra</vt:lpstr>
      <vt:lpstr>SUM</vt:lpstr>
      <vt:lpstr>'PLAN DE OFERTA'!Área_de_impresión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Pérez</dc:creator>
  <cp:keywords/>
  <dc:description/>
  <cp:lastModifiedBy>Christian Campos</cp:lastModifiedBy>
  <cp:revision/>
  <cp:lastPrinted>2023-07-13T18:33:48Z</cp:lastPrinted>
  <dcterms:created xsi:type="dcterms:W3CDTF">2023-03-14T21:05:52Z</dcterms:created>
  <dcterms:modified xsi:type="dcterms:W3CDTF">2023-07-13T18:34:39Z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2023-05-04T16:30:28Z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22f2dc2a-f7f4-48b0-b125-4e2074bdc134</vt:lpwstr>
  </property>
  <property fmtid="{D5CDD505-2E9C-101B-9397-08002B2CF9AE}" pid="8" name="MSIP_Label_1127a2b6-15f0-419d-9b28-c70a2bd9d8e7_ContentBits">
    <vt:lpwstr>0</vt:lpwstr>
  </property>
</Properties>
</file>